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720" windowWidth="12315" windowHeight="7980" tabRatio="0"/>
  </bookViews>
  <sheets>
    <sheet name="TDSheet" sheetId="1" r:id="rId1"/>
  </sheets>
  <definedNames>
    <definedName name="_xlnm._FilterDatabase" localSheetId="0" hidden="1">TDSheet!$B$1:$B$330</definedName>
    <definedName name="_xlnm.Print_Area" localSheetId="0">TDSheet!$A$1:$T$328</definedName>
  </definedNames>
  <calcPr calcId="145621"/>
</workbook>
</file>

<file path=xl/calcChain.xml><?xml version="1.0" encoding="utf-8"?>
<calcChain xmlns="http://schemas.openxmlformats.org/spreadsheetml/2006/main">
  <c r="I177" i="1"/>
  <c r="T176"/>
  <c r="T178"/>
  <c r="T179"/>
  <c r="R176"/>
  <c r="Q176"/>
  <c r="P176"/>
  <c r="P178"/>
  <c r="P179"/>
  <c r="O176"/>
  <c r="O178"/>
  <c r="N176"/>
  <c r="N178"/>
  <c r="L176"/>
  <c r="L178"/>
  <c r="K176"/>
  <c r="J176"/>
  <c r="H176"/>
  <c r="H178"/>
  <c r="G176"/>
  <c r="G178"/>
  <c r="F176"/>
  <c r="R175"/>
  <c r="Q175"/>
  <c r="K175"/>
  <c r="T118"/>
  <c r="R118"/>
  <c r="Q118"/>
  <c r="P118"/>
  <c r="O118"/>
  <c r="N118"/>
  <c r="L118"/>
  <c r="K118"/>
  <c r="J118"/>
  <c r="J121"/>
  <c r="J122"/>
  <c r="T83"/>
  <c r="S83"/>
  <c r="S90"/>
  <c r="S91"/>
  <c r="R83"/>
  <c r="Q83"/>
  <c r="P83"/>
  <c r="O83"/>
  <c r="N83"/>
  <c r="M83"/>
  <c r="M90"/>
  <c r="L83"/>
  <c r="K83"/>
  <c r="J83"/>
  <c r="H83"/>
  <c r="G83"/>
  <c r="F83"/>
  <c r="T120"/>
  <c r="T121"/>
  <c r="T122"/>
  <c r="R120"/>
  <c r="Q120"/>
  <c r="P120"/>
  <c r="P121"/>
  <c r="P122"/>
  <c r="O120"/>
  <c r="N120"/>
  <c r="N121"/>
  <c r="L120"/>
  <c r="K120"/>
  <c r="J120"/>
  <c r="H120"/>
  <c r="G120"/>
  <c r="F120"/>
  <c r="T119"/>
  <c r="S119"/>
  <c r="S121"/>
  <c r="S122"/>
  <c r="R119"/>
  <c r="Q119"/>
  <c r="Q121"/>
  <c r="Q122"/>
  <c r="P119"/>
  <c r="O119"/>
  <c r="N119"/>
  <c r="K119"/>
  <c r="J119"/>
  <c r="H119"/>
  <c r="H121"/>
  <c r="G119"/>
  <c r="F119"/>
  <c r="T89"/>
  <c r="R89"/>
  <c r="R90"/>
  <c r="Q89"/>
  <c r="P89"/>
  <c r="O89"/>
  <c r="N89"/>
  <c r="L89"/>
  <c r="K89"/>
  <c r="J89"/>
  <c r="H89"/>
  <c r="G89"/>
  <c r="F89"/>
  <c r="T88"/>
  <c r="S88"/>
  <c r="R88"/>
  <c r="Q88"/>
  <c r="P88"/>
  <c r="O88"/>
  <c r="O90"/>
  <c r="N88"/>
  <c r="K88"/>
  <c r="J88"/>
  <c r="H88"/>
  <c r="G88"/>
  <c r="F88"/>
  <c r="I208"/>
  <c r="I211"/>
  <c r="I212"/>
  <c r="I44"/>
  <c r="I47"/>
  <c r="M178"/>
  <c r="M179"/>
  <c r="S178"/>
  <c r="S179"/>
  <c r="M155"/>
  <c r="M156"/>
  <c r="M275"/>
  <c r="M276"/>
  <c r="S275"/>
  <c r="E275"/>
  <c r="D275"/>
  <c r="I274"/>
  <c r="I275"/>
  <c r="T275"/>
  <c r="T276"/>
  <c r="R275"/>
  <c r="R276"/>
  <c r="Q275"/>
  <c r="Q276"/>
  <c r="P275"/>
  <c r="P276"/>
  <c r="O275"/>
  <c r="O276"/>
  <c r="N275"/>
  <c r="N276"/>
  <c r="L275"/>
  <c r="K275"/>
  <c r="K276"/>
  <c r="J275"/>
  <c r="H275"/>
  <c r="H276"/>
  <c r="G275"/>
  <c r="I303"/>
  <c r="I305"/>
  <c r="I306"/>
  <c r="T211"/>
  <c r="T212"/>
  <c r="R211"/>
  <c r="Q211"/>
  <c r="P211"/>
  <c r="P212"/>
  <c r="O211"/>
  <c r="O212"/>
  <c r="N211"/>
  <c r="N212"/>
  <c r="K211"/>
  <c r="K212"/>
  <c r="H211"/>
  <c r="H212"/>
  <c r="G211"/>
  <c r="G212"/>
  <c r="D178"/>
  <c r="T188"/>
  <c r="R188"/>
  <c r="Q188"/>
  <c r="P188"/>
  <c r="O188"/>
  <c r="N188"/>
  <c r="L188"/>
  <c r="K188"/>
  <c r="J188"/>
  <c r="E90"/>
  <c r="E91"/>
  <c r="D90"/>
  <c r="I77"/>
  <c r="I79"/>
  <c r="T47"/>
  <c r="T48"/>
  <c r="R47"/>
  <c r="Q47"/>
  <c r="Q48"/>
  <c r="P47"/>
  <c r="P48"/>
  <c r="O47"/>
  <c r="O48"/>
  <c r="N47"/>
  <c r="N48"/>
  <c r="L47"/>
  <c r="L48"/>
  <c r="K47"/>
  <c r="K48"/>
  <c r="J47"/>
  <c r="J48"/>
  <c r="H47"/>
  <c r="H48"/>
  <c r="E252"/>
  <c r="E189"/>
  <c r="E178"/>
  <c r="J178"/>
  <c r="J179"/>
  <c r="R13"/>
  <c r="Q13"/>
  <c r="K13"/>
  <c r="D155"/>
  <c r="T187"/>
  <c r="R187"/>
  <c r="Q187"/>
  <c r="P187"/>
  <c r="O187"/>
  <c r="N187"/>
  <c r="L187"/>
  <c r="K187"/>
  <c r="J187"/>
  <c r="H187"/>
  <c r="G187"/>
  <c r="F187"/>
  <c r="I187"/>
  <c r="E155"/>
  <c r="E156"/>
  <c r="D57"/>
  <c r="G47"/>
  <c r="G48"/>
  <c r="M47"/>
  <c r="S47"/>
  <c r="S48"/>
  <c r="E47"/>
  <c r="E48"/>
  <c r="M57"/>
  <c r="E57"/>
  <c r="E58"/>
  <c r="I182"/>
  <c r="I51"/>
  <c r="T142"/>
  <c r="T144"/>
  <c r="T145"/>
  <c r="R142"/>
  <c r="R144"/>
  <c r="R145"/>
  <c r="Q142"/>
  <c r="Q144"/>
  <c r="P142"/>
  <c r="P144"/>
  <c r="O142"/>
  <c r="O144"/>
  <c r="O145"/>
  <c r="N142"/>
  <c r="N144"/>
  <c r="L142"/>
  <c r="L144"/>
  <c r="K142"/>
  <c r="K144"/>
  <c r="K145"/>
  <c r="J142"/>
  <c r="J144"/>
  <c r="J145"/>
  <c r="H142"/>
  <c r="G142"/>
  <c r="F142"/>
  <c r="F144"/>
  <c r="F145"/>
  <c r="T305"/>
  <c r="T306"/>
  <c r="R305"/>
  <c r="R306"/>
  <c r="Q305"/>
  <c r="Q306"/>
  <c r="P305"/>
  <c r="O305"/>
  <c r="O306"/>
  <c r="N305"/>
  <c r="N306"/>
  <c r="L305"/>
  <c r="L306"/>
  <c r="K305"/>
  <c r="K306"/>
  <c r="J305"/>
  <c r="J306"/>
  <c r="H305"/>
  <c r="H306"/>
  <c r="G305"/>
  <c r="G306"/>
  <c r="I15"/>
  <c r="T14"/>
  <c r="T16"/>
  <c r="T17"/>
  <c r="R14"/>
  <c r="Q14"/>
  <c r="P14"/>
  <c r="P16"/>
  <c r="P17"/>
  <c r="O14"/>
  <c r="O16"/>
  <c r="N14"/>
  <c r="N16"/>
  <c r="N17"/>
  <c r="L14"/>
  <c r="L16"/>
  <c r="K14"/>
  <c r="J14"/>
  <c r="J16"/>
  <c r="H14"/>
  <c r="H16"/>
  <c r="H17"/>
  <c r="G14"/>
  <c r="G16"/>
  <c r="G17"/>
  <c r="F14"/>
  <c r="F16"/>
  <c r="F17"/>
  <c r="I240"/>
  <c r="I242"/>
  <c r="I243"/>
  <c r="T181"/>
  <c r="S181"/>
  <c r="R181"/>
  <c r="Q181"/>
  <c r="P181"/>
  <c r="O181"/>
  <c r="N181"/>
  <c r="M181"/>
  <c r="M189"/>
  <c r="L181"/>
  <c r="K181"/>
  <c r="J181"/>
  <c r="H181"/>
  <c r="G181"/>
  <c r="F181"/>
  <c r="T184"/>
  <c r="S184"/>
  <c r="R184"/>
  <c r="Q184"/>
  <c r="P184"/>
  <c r="O184"/>
  <c r="N184"/>
  <c r="M184"/>
  <c r="K184"/>
  <c r="J184"/>
  <c r="H184"/>
  <c r="G184"/>
  <c r="F184"/>
  <c r="D47"/>
  <c r="D64"/>
  <c r="T22"/>
  <c r="S22"/>
  <c r="R22"/>
  <c r="P22"/>
  <c r="O22"/>
  <c r="N22"/>
  <c r="M22"/>
  <c r="M25"/>
  <c r="K22"/>
  <c r="J22"/>
  <c r="H22"/>
  <c r="G22"/>
  <c r="F22"/>
  <c r="I22"/>
  <c r="N37"/>
  <c r="N70"/>
  <c r="N101"/>
  <c r="N134"/>
  <c r="N167"/>
  <c r="N201"/>
  <c r="N232"/>
  <c r="N265"/>
  <c r="N296"/>
  <c r="J211"/>
  <c r="J212"/>
  <c r="L211"/>
  <c r="L212"/>
  <c r="M211"/>
  <c r="M212"/>
  <c r="S211"/>
  <c r="S212"/>
  <c r="E211"/>
  <c r="D211"/>
  <c r="E16"/>
  <c r="E17"/>
  <c r="D16"/>
  <c r="L242"/>
  <c r="L243"/>
  <c r="H242"/>
  <c r="H243"/>
  <c r="N38"/>
  <c r="N71"/>
  <c r="N102"/>
  <c r="N135"/>
  <c r="N168"/>
  <c r="N202"/>
  <c r="N233"/>
  <c r="N266"/>
  <c r="N297"/>
  <c r="T242"/>
  <c r="Q242"/>
  <c r="O242"/>
  <c r="O243"/>
  <c r="J242"/>
  <c r="J243"/>
  <c r="D305"/>
  <c r="E305"/>
  <c r="M305"/>
  <c r="M306"/>
  <c r="S305"/>
  <c r="S306"/>
  <c r="M242"/>
  <c r="M243"/>
  <c r="I109"/>
  <c r="I111"/>
  <c r="I112"/>
  <c r="S111"/>
  <c r="S112"/>
  <c r="M111"/>
  <c r="M112"/>
  <c r="K111"/>
  <c r="J111"/>
  <c r="J112"/>
  <c r="H111"/>
  <c r="H112"/>
  <c r="G111"/>
  <c r="G112"/>
  <c r="T79"/>
  <c r="R79"/>
  <c r="R97"/>
  <c r="R99"/>
  <c r="Q79"/>
  <c r="P79"/>
  <c r="P80"/>
  <c r="O79"/>
  <c r="N79"/>
  <c r="N80"/>
  <c r="L79"/>
  <c r="L80"/>
  <c r="K79"/>
  <c r="K80"/>
  <c r="J79"/>
  <c r="H79"/>
  <c r="F79"/>
  <c r="F80"/>
  <c r="E111"/>
  <c r="D111"/>
  <c r="S16"/>
  <c r="S17"/>
  <c r="M16"/>
  <c r="M17"/>
  <c r="M252"/>
  <c r="M253"/>
  <c r="D252"/>
  <c r="M221"/>
  <c r="H30"/>
  <c r="H31"/>
  <c r="J30"/>
  <c r="J31"/>
  <c r="K30"/>
  <c r="K31"/>
  <c r="L30"/>
  <c r="L31"/>
  <c r="M30"/>
  <c r="M31"/>
  <c r="N30"/>
  <c r="N31"/>
  <c r="O30"/>
  <c r="O31"/>
  <c r="P30"/>
  <c r="P31"/>
  <c r="Q30"/>
  <c r="Q31"/>
  <c r="R30"/>
  <c r="R31"/>
  <c r="S30"/>
  <c r="S31"/>
  <c r="T30"/>
  <c r="T31"/>
  <c r="I62"/>
  <c r="I63"/>
  <c r="I95"/>
  <c r="I96"/>
  <c r="T220"/>
  <c r="R220"/>
  <c r="Q220"/>
  <c r="P220"/>
  <c r="O220"/>
  <c r="N220"/>
  <c r="L220"/>
  <c r="L221"/>
  <c r="K220"/>
  <c r="J220"/>
  <c r="H220"/>
  <c r="G220"/>
  <c r="F220"/>
  <c r="I220"/>
  <c r="T219"/>
  <c r="T221"/>
  <c r="S219"/>
  <c r="S221"/>
  <c r="S222"/>
  <c r="R219"/>
  <c r="Q219"/>
  <c r="P219"/>
  <c r="O219"/>
  <c r="N219"/>
  <c r="K219"/>
  <c r="J219"/>
  <c r="J221"/>
  <c r="J222"/>
  <c r="H219"/>
  <c r="G219"/>
  <c r="F219"/>
  <c r="D221"/>
  <c r="E221"/>
  <c r="E222"/>
  <c r="I226"/>
  <c r="I227"/>
  <c r="D226"/>
  <c r="E226"/>
  <c r="F226"/>
  <c r="F227"/>
  <c r="G226"/>
  <c r="G227"/>
  <c r="H226"/>
  <c r="H227"/>
  <c r="J226"/>
  <c r="J227"/>
  <c r="K226"/>
  <c r="K227"/>
  <c r="L226"/>
  <c r="L227"/>
  <c r="M226"/>
  <c r="M227"/>
  <c r="N226"/>
  <c r="N227"/>
  <c r="O226"/>
  <c r="O227"/>
  <c r="P226"/>
  <c r="P227"/>
  <c r="Q226"/>
  <c r="Q227"/>
  <c r="R226"/>
  <c r="R227"/>
  <c r="S226"/>
  <c r="S227"/>
  <c r="T226"/>
  <c r="T227"/>
  <c r="T186"/>
  <c r="T189"/>
  <c r="T190"/>
  <c r="S186"/>
  <c r="R186"/>
  <c r="R189"/>
  <c r="R190"/>
  <c r="Q186"/>
  <c r="P186"/>
  <c r="O186"/>
  <c r="N186"/>
  <c r="K186"/>
  <c r="J186"/>
  <c r="H186"/>
  <c r="G186"/>
  <c r="F186"/>
  <c r="E320"/>
  <c r="I320"/>
  <c r="I321"/>
  <c r="E290"/>
  <c r="I290"/>
  <c r="I291"/>
  <c r="E257"/>
  <c r="I257"/>
  <c r="I258"/>
  <c r="E194"/>
  <c r="I194"/>
  <c r="I195"/>
  <c r="E160"/>
  <c r="T160"/>
  <c r="T161"/>
  <c r="S160"/>
  <c r="S161"/>
  <c r="O160"/>
  <c r="O161"/>
  <c r="L160"/>
  <c r="L161"/>
  <c r="H160"/>
  <c r="H161"/>
  <c r="F160"/>
  <c r="F161"/>
  <c r="E126"/>
  <c r="D126"/>
  <c r="F126"/>
  <c r="F127"/>
  <c r="G126"/>
  <c r="G127"/>
  <c r="H126"/>
  <c r="H127"/>
  <c r="I126"/>
  <c r="I127"/>
  <c r="J126"/>
  <c r="J127"/>
  <c r="K126"/>
  <c r="K127"/>
  <c r="L126"/>
  <c r="L127"/>
  <c r="M126"/>
  <c r="M127"/>
  <c r="N126"/>
  <c r="N127"/>
  <c r="O126"/>
  <c r="O127"/>
  <c r="P126"/>
  <c r="P127"/>
  <c r="Q126"/>
  <c r="R126"/>
  <c r="R127"/>
  <c r="S126"/>
  <c r="T126"/>
  <c r="T127"/>
  <c r="E95"/>
  <c r="E62"/>
  <c r="G30"/>
  <c r="G31"/>
  <c r="A178"/>
  <c r="A47"/>
  <c r="A42"/>
  <c r="D290"/>
  <c r="T290"/>
  <c r="T291"/>
  <c r="S290"/>
  <c r="S291"/>
  <c r="R290"/>
  <c r="R291"/>
  <c r="Q290"/>
  <c r="Q291"/>
  <c r="P290"/>
  <c r="P291"/>
  <c r="O290"/>
  <c r="O291"/>
  <c r="N290"/>
  <c r="N291"/>
  <c r="M290"/>
  <c r="M291"/>
  <c r="L290"/>
  <c r="L291"/>
  <c r="K290"/>
  <c r="K291"/>
  <c r="J290"/>
  <c r="J291"/>
  <c r="H290"/>
  <c r="H291"/>
  <c r="G290"/>
  <c r="G291"/>
  <c r="F290"/>
  <c r="F291"/>
  <c r="E285"/>
  <c r="E286"/>
  <c r="D285"/>
  <c r="D292"/>
  <c r="T284"/>
  <c r="R284"/>
  <c r="Q284"/>
  <c r="P284"/>
  <c r="O284"/>
  <c r="N284"/>
  <c r="L284"/>
  <c r="L285"/>
  <c r="K284"/>
  <c r="J284"/>
  <c r="H284"/>
  <c r="G284"/>
  <c r="F284"/>
  <c r="T283"/>
  <c r="T285"/>
  <c r="S283"/>
  <c r="S285"/>
  <c r="R283"/>
  <c r="Q283"/>
  <c r="P283"/>
  <c r="P285"/>
  <c r="P292"/>
  <c r="P294"/>
  <c r="O283"/>
  <c r="N283"/>
  <c r="K283"/>
  <c r="K285"/>
  <c r="J283"/>
  <c r="H283"/>
  <c r="G283"/>
  <c r="G285"/>
  <c r="F283"/>
  <c r="M285"/>
  <c r="M286"/>
  <c r="T257"/>
  <c r="T258"/>
  <c r="R257"/>
  <c r="R258"/>
  <c r="D257"/>
  <c r="S257"/>
  <c r="S258"/>
  <c r="Q257"/>
  <c r="Q258"/>
  <c r="P257"/>
  <c r="P258"/>
  <c r="O257"/>
  <c r="O258"/>
  <c r="N257"/>
  <c r="N258"/>
  <c r="M257"/>
  <c r="L257"/>
  <c r="L258"/>
  <c r="K257"/>
  <c r="K258"/>
  <c r="J257"/>
  <c r="J258"/>
  <c r="H257"/>
  <c r="H258"/>
  <c r="G257"/>
  <c r="G258"/>
  <c r="F257"/>
  <c r="F258"/>
  <c r="T251"/>
  <c r="R251"/>
  <c r="Q251"/>
  <c r="Q252"/>
  <c r="Q253"/>
  <c r="P251"/>
  <c r="O251"/>
  <c r="N251"/>
  <c r="L251"/>
  <c r="L252"/>
  <c r="K251"/>
  <c r="J251"/>
  <c r="H251"/>
  <c r="G251"/>
  <c r="F251"/>
  <c r="T250"/>
  <c r="S250"/>
  <c r="S252"/>
  <c r="S253"/>
  <c r="R250"/>
  <c r="Q250"/>
  <c r="P250"/>
  <c r="O250"/>
  <c r="N250"/>
  <c r="N252"/>
  <c r="N253"/>
  <c r="K250"/>
  <c r="K252"/>
  <c r="K253"/>
  <c r="J250"/>
  <c r="J252"/>
  <c r="H250"/>
  <c r="G250"/>
  <c r="G252"/>
  <c r="F250"/>
  <c r="E242"/>
  <c r="D242"/>
  <c r="D259"/>
  <c r="S242"/>
  <c r="S243"/>
  <c r="T194"/>
  <c r="T195"/>
  <c r="S194"/>
  <c r="S195"/>
  <c r="R194"/>
  <c r="R195"/>
  <c r="Q194"/>
  <c r="Q195"/>
  <c r="P194"/>
  <c r="P195"/>
  <c r="O194"/>
  <c r="O195"/>
  <c r="N194"/>
  <c r="N195"/>
  <c r="M194"/>
  <c r="M195"/>
  <c r="L194"/>
  <c r="L195"/>
  <c r="K194"/>
  <c r="K195"/>
  <c r="J194"/>
  <c r="J195"/>
  <c r="H194"/>
  <c r="H195"/>
  <c r="G194"/>
  <c r="G195"/>
  <c r="F194"/>
  <c r="F195"/>
  <c r="D189"/>
  <c r="D196"/>
  <c r="E121"/>
  <c r="E128"/>
  <c r="D121"/>
  <c r="D128"/>
  <c r="L121"/>
  <c r="L122"/>
  <c r="O121"/>
  <c r="O122"/>
  <c r="G121"/>
  <c r="G122"/>
  <c r="R95"/>
  <c r="R96"/>
  <c r="M95"/>
  <c r="D95"/>
  <c r="T95"/>
  <c r="T96"/>
  <c r="S95"/>
  <c r="S96"/>
  <c r="Q95"/>
  <c r="Q96"/>
  <c r="P95"/>
  <c r="P96"/>
  <c r="O95"/>
  <c r="O96"/>
  <c r="N95"/>
  <c r="N96"/>
  <c r="L95"/>
  <c r="L96"/>
  <c r="K95"/>
  <c r="K96"/>
  <c r="J95"/>
  <c r="J96"/>
  <c r="H95"/>
  <c r="H96"/>
  <c r="F95"/>
  <c r="F96"/>
  <c r="J90"/>
  <c r="T90"/>
  <c r="T91"/>
  <c r="Q90"/>
  <c r="H90"/>
  <c r="G90"/>
  <c r="F90"/>
  <c r="F91"/>
  <c r="M79"/>
  <c r="M80"/>
  <c r="E79"/>
  <c r="D79"/>
  <c r="D97"/>
  <c r="S79"/>
  <c r="D62"/>
  <c r="T62"/>
  <c r="T63"/>
  <c r="S62"/>
  <c r="S63"/>
  <c r="R62"/>
  <c r="Q62"/>
  <c r="Q63"/>
  <c r="P62"/>
  <c r="P63"/>
  <c r="O62"/>
  <c r="O63"/>
  <c r="N62"/>
  <c r="N63"/>
  <c r="M62"/>
  <c r="M63"/>
  <c r="L62"/>
  <c r="L63"/>
  <c r="K62"/>
  <c r="K63"/>
  <c r="J62"/>
  <c r="J63"/>
  <c r="H62"/>
  <c r="H63"/>
  <c r="F62"/>
  <c r="F63"/>
  <c r="L155"/>
  <c r="L156"/>
  <c r="T153"/>
  <c r="T155"/>
  <c r="S153"/>
  <c r="S155"/>
  <c r="S156"/>
  <c r="R153"/>
  <c r="R155"/>
  <c r="Q153"/>
  <c r="Q155"/>
  <c r="P153"/>
  <c r="P155"/>
  <c r="P156"/>
  <c r="O153"/>
  <c r="N153"/>
  <c r="N155"/>
  <c r="K153"/>
  <c r="K155"/>
  <c r="J153"/>
  <c r="J155"/>
  <c r="J156"/>
  <c r="H153"/>
  <c r="I153"/>
  <c r="I155"/>
  <c r="I156"/>
  <c r="H155"/>
  <c r="G153"/>
  <c r="F153"/>
  <c r="D30"/>
  <c r="E25"/>
  <c r="D25"/>
  <c r="D32"/>
  <c r="L25"/>
  <c r="T24"/>
  <c r="T25"/>
  <c r="S24"/>
  <c r="R24"/>
  <c r="R25"/>
  <c r="R26"/>
  <c r="Q24"/>
  <c r="Q25"/>
  <c r="Q26"/>
  <c r="P24"/>
  <c r="O24"/>
  <c r="N24"/>
  <c r="K24"/>
  <c r="K25"/>
  <c r="K26"/>
  <c r="J24"/>
  <c r="J25"/>
  <c r="J32"/>
  <c r="J34"/>
  <c r="H24"/>
  <c r="H25"/>
  <c r="H26"/>
  <c r="G24"/>
  <c r="F24"/>
  <c r="F25"/>
  <c r="D144"/>
  <c r="E144"/>
  <c r="E145"/>
  <c r="E315"/>
  <c r="E316"/>
  <c r="D320"/>
  <c r="T312"/>
  <c r="S312"/>
  <c r="S315"/>
  <c r="S316"/>
  <c r="R312"/>
  <c r="Q312"/>
  <c r="Q315"/>
  <c r="P312"/>
  <c r="P314"/>
  <c r="O312"/>
  <c r="N312"/>
  <c r="N315"/>
  <c r="N316"/>
  <c r="K312"/>
  <c r="J312"/>
  <c r="H312"/>
  <c r="H315"/>
  <c r="G312"/>
  <c r="F312"/>
  <c r="T55"/>
  <c r="S55"/>
  <c r="S57"/>
  <c r="R55"/>
  <c r="R57"/>
  <c r="Q55"/>
  <c r="P55"/>
  <c r="O55"/>
  <c r="N55"/>
  <c r="K55"/>
  <c r="J55"/>
  <c r="H55"/>
  <c r="G55"/>
  <c r="F55"/>
  <c r="T314"/>
  <c r="R314"/>
  <c r="Q314"/>
  <c r="O314"/>
  <c r="N314"/>
  <c r="L314"/>
  <c r="L315"/>
  <c r="K314"/>
  <c r="J314"/>
  <c r="J315"/>
  <c r="H314"/>
  <c r="G314"/>
  <c r="F314"/>
  <c r="T56"/>
  <c r="R56"/>
  <c r="Q56"/>
  <c r="P56"/>
  <c r="P57"/>
  <c r="P58"/>
  <c r="O56"/>
  <c r="N56"/>
  <c r="L56"/>
  <c r="L57"/>
  <c r="K56"/>
  <c r="J56"/>
  <c r="J57"/>
  <c r="H56"/>
  <c r="G56"/>
  <c r="G57"/>
  <c r="G58"/>
  <c r="F56"/>
  <c r="T320"/>
  <c r="T321"/>
  <c r="S320"/>
  <c r="S321"/>
  <c r="R320"/>
  <c r="R321"/>
  <c r="Q320"/>
  <c r="Q321"/>
  <c r="P320"/>
  <c r="P321"/>
  <c r="O320"/>
  <c r="N320"/>
  <c r="N321"/>
  <c r="M320"/>
  <c r="L320"/>
  <c r="L321"/>
  <c r="K320"/>
  <c r="K321"/>
  <c r="J320"/>
  <c r="J321"/>
  <c r="H320"/>
  <c r="H321"/>
  <c r="G320"/>
  <c r="G321"/>
  <c r="D315"/>
  <c r="D160"/>
  <c r="J160"/>
  <c r="J161"/>
  <c r="K160"/>
  <c r="K161"/>
  <c r="M160"/>
  <c r="M161"/>
  <c r="N160"/>
  <c r="N161"/>
  <c r="P160"/>
  <c r="P161"/>
  <c r="Q160"/>
  <c r="Q161"/>
  <c r="R160"/>
  <c r="R161"/>
  <c r="G62"/>
  <c r="G63"/>
  <c r="G95"/>
  <c r="G96"/>
  <c r="F320"/>
  <c r="F321"/>
  <c r="W111"/>
  <c r="G160"/>
  <c r="G161"/>
  <c r="I160"/>
  <c r="I161"/>
  <c r="M315"/>
  <c r="M316"/>
  <c r="M121"/>
  <c r="M122"/>
  <c r="M144"/>
  <c r="M145"/>
  <c r="S144"/>
  <c r="F30"/>
  <c r="F31"/>
  <c r="I30"/>
  <c r="I31"/>
  <c r="R111"/>
  <c r="R112"/>
  <c r="Q111"/>
  <c r="Q112"/>
  <c r="N111"/>
  <c r="N112"/>
  <c r="P111"/>
  <c r="P112"/>
  <c r="O111"/>
  <c r="O112"/>
  <c r="F242"/>
  <c r="K242"/>
  <c r="K243"/>
  <c r="N242"/>
  <c r="N243"/>
  <c r="P242"/>
  <c r="R242"/>
  <c r="R243"/>
  <c r="G79"/>
  <c r="F111"/>
  <c r="F112"/>
  <c r="G242"/>
  <c r="G243"/>
  <c r="L111"/>
  <c r="L276"/>
  <c r="T111"/>
  <c r="T112"/>
  <c r="Q212"/>
  <c r="E64"/>
  <c r="G276"/>
  <c r="Q16"/>
  <c r="Q17"/>
  <c r="J276"/>
  <c r="F305"/>
  <c r="F306"/>
  <c r="R48"/>
  <c r="F47"/>
  <c r="F48"/>
  <c r="L90"/>
  <c r="G144"/>
  <c r="F275"/>
  <c r="F211"/>
  <c r="F212"/>
  <c r="R121"/>
  <c r="R122"/>
  <c r="G155"/>
  <c r="G156"/>
  <c r="R221"/>
  <c r="R222"/>
  <c r="R16"/>
  <c r="R17"/>
  <c r="P189"/>
  <c r="P190"/>
  <c r="D322"/>
  <c r="D162"/>
  <c r="E228"/>
  <c r="K16"/>
  <c r="K17"/>
  <c r="H80"/>
  <c r="T243"/>
  <c r="I184"/>
  <c r="E162"/>
  <c r="O25"/>
  <c r="O26"/>
  <c r="F155"/>
  <c r="E122"/>
  <c r="O128"/>
  <c r="O130"/>
  <c r="F26"/>
  <c r="K121"/>
  <c r="K122"/>
  <c r="H252"/>
  <c r="F243"/>
  <c r="F252"/>
  <c r="M58"/>
  <c r="S276"/>
  <c r="O155"/>
  <c r="O162"/>
  <c r="O164"/>
  <c r="G189"/>
  <c r="G190"/>
  <c r="H144"/>
  <c r="H145"/>
  <c r="L189"/>
  <c r="J253"/>
  <c r="M162"/>
  <c r="M164"/>
  <c r="E32"/>
  <c r="E26"/>
  <c r="M321"/>
  <c r="O321"/>
  <c r="J285"/>
  <c r="Q221"/>
  <c r="Q228"/>
  <c r="Q230"/>
  <c r="N189"/>
  <c r="L222"/>
  <c r="L179"/>
  <c r="O179"/>
  <c r="O91"/>
  <c r="M322"/>
  <c r="M324"/>
  <c r="M128"/>
  <c r="M130"/>
  <c r="G64"/>
  <c r="G66"/>
  <c r="I283"/>
  <c r="I285"/>
  <c r="I292"/>
  <c r="I294"/>
  <c r="S322"/>
  <c r="S324"/>
  <c r="F162"/>
  <c r="F164"/>
  <c r="I186"/>
  <c r="D228"/>
  <c r="R178"/>
  <c r="R179"/>
  <c r="L228"/>
  <c r="L230"/>
  <c r="O221"/>
  <c r="P315"/>
  <c r="P316"/>
  <c r="I251"/>
  <c r="T222"/>
  <c r="T228"/>
  <c r="T230"/>
  <c r="O222"/>
  <c r="O228"/>
  <c r="O230"/>
  <c r="J58"/>
  <c r="J64"/>
  <c r="J66"/>
  <c r="J228"/>
  <c r="J230"/>
  <c r="S259"/>
  <c r="S261"/>
  <c r="Q91"/>
  <c r="R128"/>
  <c r="R130"/>
  <c r="L97"/>
  <c r="L99"/>
  <c r="P252"/>
  <c r="P253"/>
  <c r="R252"/>
  <c r="N285"/>
  <c r="N292"/>
  <c r="N294"/>
  <c r="I284"/>
  <c r="I55"/>
  <c r="H57"/>
  <c r="O57"/>
  <c r="O58"/>
  <c r="I312"/>
  <c r="O315"/>
  <c r="R315"/>
  <c r="R316"/>
  <c r="Q222"/>
  <c r="P64"/>
  <c r="P66"/>
  <c r="O64"/>
  <c r="O66"/>
  <c r="K156"/>
  <c r="K162"/>
  <c r="K164"/>
  <c r="O156"/>
  <c r="R91"/>
  <c r="L91"/>
  <c r="O252"/>
  <c r="O259"/>
  <c r="O261"/>
  <c r="E196"/>
  <c r="K178"/>
  <c r="N286"/>
  <c r="L286"/>
  <c r="L292"/>
  <c r="L294"/>
  <c r="I80"/>
  <c r="O253"/>
  <c r="M91"/>
  <c r="I24"/>
  <c r="I25"/>
  <c r="I26"/>
  <c r="P128"/>
  <c r="P130"/>
  <c r="T252"/>
  <c r="O285"/>
  <c r="Q285"/>
  <c r="Q292"/>
  <c r="Q294"/>
  <c r="H285"/>
  <c r="H286"/>
  <c r="N221"/>
  <c r="N228"/>
  <c r="P221"/>
  <c r="I88"/>
  <c r="I89"/>
  <c r="I120"/>
  <c r="I83"/>
  <c r="K57"/>
  <c r="F221"/>
  <c r="F222"/>
  <c r="H221"/>
  <c r="H228"/>
  <c r="H230"/>
  <c r="K221"/>
  <c r="G128"/>
  <c r="G130"/>
  <c r="P25"/>
  <c r="P26"/>
  <c r="S25"/>
  <c r="J189"/>
  <c r="F189"/>
  <c r="F190"/>
  <c r="H189"/>
  <c r="H190"/>
  <c r="K189"/>
  <c r="K190"/>
  <c r="Q189"/>
  <c r="Q190"/>
  <c r="S189"/>
  <c r="S190"/>
  <c r="E292"/>
  <c r="M292"/>
  <c r="M294"/>
  <c r="Q178"/>
  <c r="Q179"/>
  <c r="T196"/>
  <c r="T198"/>
  <c r="N156"/>
  <c r="Q196"/>
  <c r="Q198"/>
  <c r="J17"/>
  <c r="K179"/>
  <c r="M190"/>
  <c r="M196"/>
  <c r="M198"/>
  <c r="G80"/>
  <c r="P243"/>
  <c r="S145"/>
  <c r="R162"/>
  <c r="R164"/>
  <c r="S80"/>
  <c r="S97"/>
  <c r="S99"/>
  <c r="E80"/>
  <c r="E97"/>
  <c r="H91"/>
  <c r="H97"/>
  <c r="H99"/>
  <c r="M222"/>
  <c r="M228"/>
  <c r="M230"/>
  <c r="M26"/>
  <c r="M32"/>
  <c r="M34"/>
  <c r="O189"/>
  <c r="P306"/>
  <c r="P322"/>
  <c r="P324"/>
  <c r="L145"/>
  <c r="L162"/>
  <c r="L164"/>
  <c r="P145"/>
  <c r="P162"/>
  <c r="P164"/>
  <c r="M48"/>
  <c r="M64"/>
  <c r="M66"/>
  <c r="G179"/>
  <c r="G196"/>
  <c r="G198"/>
  <c r="E253"/>
  <c r="E259"/>
  <c r="R212"/>
  <c r="R228"/>
  <c r="R230"/>
  <c r="I276"/>
  <c r="V292"/>
  <c r="I48"/>
  <c r="I176"/>
  <c r="I178"/>
  <c r="I179"/>
  <c r="V111"/>
  <c r="F178"/>
  <c r="H179"/>
  <c r="H292"/>
  <c r="H294"/>
  <c r="N190"/>
  <c r="K259"/>
  <c r="K261"/>
  <c r="Q32"/>
  <c r="Q34"/>
  <c r="F156"/>
  <c r="R58"/>
  <c r="F32"/>
  <c r="F34"/>
  <c r="R156"/>
  <c r="L190"/>
  <c r="L196"/>
  <c r="L198"/>
  <c r="G25"/>
  <c r="F97"/>
  <c r="F99"/>
  <c r="R322"/>
  <c r="R324"/>
  <c r="T128"/>
  <c r="T130"/>
  <c r="H32"/>
  <c r="H34"/>
  <c r="I181"/>
  <c r="I189"/>
  <c r="I190"/>
  <c r="Q156"/>
  <c r="T26"/>
  <c r="T32"/>
  <c r="T34"/>
  <c r="J128"/>
  <c r="J130"/>
  <c r="S228"/>
  <c r="S230"/>
  <c r="I14"/>
  <c r="I16"/>
  <c r="I17"/>
  <c r="J91"/>
  <c r="H122"/>
  <c r="H128"/>
  <c r="H130"/>
  <c r="G253"/>
  <c r="G259"/>
  <c r="G261"/>
  <c r="J259"/>
  <c r="J261"/>
  <c r="S127"/>
  <c r="S128"/>
  <c r="S130"/>
  <c r="Q127"/>
  <c r="Q128"/>
  <c r="Q130"/>
  <c r="P196"/>
  <c r="P198"/>
  <c r="N57"/>
  <c r="N58"/>
  <c r="T57"/>
  <c r="G315"/>
  <c r="K315"/>
  <c r="E322"/>
  <c r="I119"/>
  <c r="I121"/>
  <c r="F121"/>
  <c r="K90"/>
  <c r="N90"/>
  <c r="P90"/>
  <c r="P97"/>
  <c r="Q57"/>
  <c r="T315"/>
  <c r="T316"/>
  <c r="N25"/>
  <c r="N32"/>
  <c r="N34"/>
  <c r="I250"/>
  <c r="H222"/>
  <c r="N122"/>
  <c r="N128"/>
  <c r="N130"/>
  <c r="F228"/>
  <c r="F230"/>
  <c r="L17"/>
  <c r="L316"/>
  <c r="L322"/>
  <c r="L324"/>
  <c r="T322"/>
  <c r="T324"/>
  <c r="T156"/>
  <c r="T162"/>
  <c r="T164"/>
  <c r="T286"/>
  <c r="T292"/>
  <c r="T294"/>
  <c r="R196"/>
  <c r="R198"/>
  <c r="H259"/>
  <c r="H261"/>
  <c r="H253"/>
  <c r="F276"/>
  <c r="G145"/>
  <c r="G162"/>
  <c r="G164"/>
  <c r="Q286"/>
  <c r="K196"/>
  <c r="K198"/>
  <c r="I90"/>
  <c r="I91"/>
  <c r="H196"/>
  <c r="H198"/>
  <c r="P32"/>
  <c r="P34"/>
  <c r="P259"/>
  <c r="P261"/>
  <c r="P222"/>
  <c r="P228"/>
  <c r="P230"/>
  <c r="P286"/>
  <c r="I97"/>
  <c r="I99"/>
  <c r="S32"/>
  <c r="S34"/>
  <c r="S26"/>
  <c r="N222"/>
  <c r="N230"/>
  <c r="O286"/>
  <c r="O292"/>
  <c r="O294"/>
  <c r="T253"/>
  <c r="T259"/>
  <c r="T261"/>
  <c r="P91"/>
  <c r="P99"/>
  <c r="K91"/>
  <c r="K97"/>
  <c r="K99"/>
  <c r="K316"/>
  <c r="K322"/>
  <c r="K324"/>
  <c r="T58"/>
  <c r="T64"/>
  <c r="T66"/>
  <c r="G26"/>
  <c r="G32"/>
  <c r="G34"/>
  <c r="I196"/>
  <c r="X111"/>
  <c r="N97"/>
  <c r="N99"/>
  <c r="N91"/>
  <c r="F128"/>
  <c r="F130"/>
  <c r="F122"/>
  <c r="G322"/>
  <c r="G324"/>
  <c r="G316"/>
  <c r="F179"/>
  <c r="F196"/>
  <c r="F198"/>
  <c r="O190"/>
  <c r="O196"/>
  <c r="O198"/>
  <c r="K222"/>
  <c r="K228"/>
  <c r="K230"/>
  <c r="L112"/>
  <c r="L128"/>
  <c r="L130"/>
  <c r="Q145"/>
  <c r="Q162"/>
  <c r="Q164"/>
  <c r="N179"/>
  <c r="N196"/>
  <c r="N198"/>
  <c r="J162"/>
  <c r="J164"/>
  <c r="R32"/>
  <c r="R34"/>
  <c r="O316"/>
  <c r="O322"/>
  <c r="O324"/>
  <c r="R253"/>
  <c r="R259"/>
  <c r="R261"/>
  <c r="K32"/>
  <c r="K34"/>
  <c r="H156"/>
  <c r="H162"/>
  <c r="H164"/>
  <c r="M96"/>
  <c r="M97"/>
  <c r="M99"/>
  <c r="L253"/>
  <c r="L259"/>
  <c r="L261"/>
  <c r="M258"/>
  <c r="M259"/>
  <c r="M261"/>
  <c r="G286"/>
  <c r="G292"/>
  <c r="G294"/>
  <c r="K64"/>
  <c r="K66"/>
  <c r="K58"/>
  <c r="H58"/>
  <c r="H64"/>
  <c r="H66"/>
  <c r="S58"/>
  <c r="S64"/>
  <c r="S66"/>
  <c r="O17"/>
  <c r="O32"/>
  <c r="O34"/>
  <c r="N145"/>
  <c r="N162"/>
  <c r="N164"/>
  <c r="I198"/>
  <c r="N64"/>
  <c r="N66"/>
  <c r="I286"/>
  <c r="N322"/>
  <c r="N324"/>
  <c r="I252"/>
  <c r="Q64"/>
  <c r="Q66"/>
  <c r="Q58"/>
  <c r="S162"/>
  <c r="S164"/>
  <c r="J26"/>
  <c r="J286"/>
  <c r="J292"/>
  <c r="J294"/>
  <c r="F253"/>
  <c r="F259"/>
  <c r="F261"/>
  <c r="J316"/>
  <c r="J322"/>
  <c r="J324"/>
  <c r="R63"/>
  <c r="R64"/>
  <c r="R66"/>
  <c r="G91"/>
  <c r="G97"/>
  <c r="G99"/>
  <c r="H316"/>
  <c r="H322"/>
  <c r="H324"/>
  <c r="Q322"/>
  <c r="Q324"/>
  <c r="Q316"/>
  <c r="K286"/>
  <c r="K292"/>
  <c r="K294"/>
  <c r="I128"/>
  <c r="I130"/>
  <c r="I122"/>
  <c r="N259"/>
  <c r="N261"/>
  <c r="I32"/>
  <c r="I34"/>
  <c r="J196"/>
  <c r="J198"/>
  <c r="J190"/>
  <c r="F57"/>
  <c r="I56"/>
  <c r="I57"/>
  <c r="L58"/>
  <c r="L64"/>
  <c r="L66"/>
  <c r="I314"/>
  <c r="I315"/>
  <c r="F315"/>
  <c r="L26"/>
  <c r="L32"/>
  <c r="L34"/>
  <c r="S286"/>
  <c r="S292"/>
  <c r="S294"/>
  <c r="G221"/>
  <c r="I219"/>
  <c r="I221"/>
  <c r="J80"/>
  <c r="J97"/>
  <c r="J99"/>
  <c r="O80"/>
  <c r="O97"/>
  <c r="O99"/>
  <c r="T80"/>
  <c r="T97"/>
  <c r="T99"/>
  <c r="K112"/>
  <c r="K128"/>
  <c r="K130"/>
  <c r="Q243"/>
  <c r="Q259"/>
  <c r="Q261"/>
  <c r="X292"/>
  <c r="N26"/>
  <c r="S196"/>
  <c r="S198"/>
  <c r="R285"/>
  <c r="Q80"/>
  <c r="Q97"/>
  <c r="Q99"/>
  <c r="F285"/>
  <c r="R80"/>
  <c r="I142"/>
  <c r="I144"/>
  <c r="R286"/>
  <c r="R292"/>
  <c r="R294"/>
  <c r="F316"/>
  <c r="F322"/>
  <c r="F324"/>
  <c r="I322"/>
  <c r="I324"/>
  <c r="I316"/>
  <c r="F58"/>
  <c r="F64"/>
  <c r="F66"/>
  <c r="I58"/>
  <c r="I64"/>
  <c r="I66"/>
  <c r="I253"/>
  <c r="I259"/>
  <c r="I261"/>
  <c r="F286"/>
  <c r="F292"/>
  <c r="F294"/>
  <c r="I228"/>
  <c r="I230"/>
  <c r="I222"/>
  <c r="W292"/>
  <c r="I162"/>
  <c r="I164"/>
  <c r="I145"/>
  <c r="G222"/>
  <c r="G228"/>
  <c r="G230"/>
</calcChain>
</file>

<file path=xl/sharedStrings.xml><?xml version="1.0" encoding="utf-8"?>
<sst xmlns="http://schemas.openxmlformats.org/spreadsheetml/2006/main" count="553" uniqueCount="118">
  <si>
    <t>понедельник</t>
  </si>
  <si>
    <t>Сезон:</t>
  </si>
  <si>
    <t>Неделя:</t>
  </si>
  <si>
    <t>Возраст: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</si>
  <si>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</si>
  <si>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</si>
  <si>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</si>
  <si>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</si>
  <si>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</si>
  <si>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</si>
  <si>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</si>
  <si>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</si>
  <si>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</si>
  <si>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</si>
  <si>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</si>
  <si>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</si>
  <si>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</si>
  <si>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</si>
  <si>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</si>
  <si>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</si>
  <si>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</si>
  <si>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</si>
  <si>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Каша гречневая  рассыпчатая с маслом</t>
  </si>
  <si>
    <t>Итого за Завтрак молочный</t>
  </si>
  <si>
    <t>Обед (полноценный рацион питания)</t>
  </si>
  <si>
    <t>Итого за Обед (полноценный рацион питания)</t>
  </si>
  <si>
    <t>Полдник</t>
  </si>
  <si>
    <t>Итого за Полдник</t>
  </si>
  <si>
    <t>Примерное меню и пищевая ценность приготовляемых блюд (лист 2)</t>
  </si>
  <si>
    <t>вторник</t>
  </si>
  <si>
    <t>Примерное меню и пищевая ценность приготовляемых блюд (лист 3)</t>
  </si>
  <si>
    <t>среда</t>
  </si>
  <si>
    <t>Примерное меню и пищевая ценность приготовляемых блюд (лист 4)</t>
  </si>
  <si>
    <t>четверг</t>
  </si>
  <si>
    <t>Примерное меню и пищевая ценность приготовляемых блюд (лист 5)</t>
  </si>
  <si>
    <t>пятница</t>
  </si>
  <si>
    <t>Примерное меню и пищевая ценность приготовляемых блюд (лист 6)</t>
  </si>
  <si>
    <t>Примерное меню и пищевая ценность приготовляемых блюд (лист 7)</t>
  </si>
  <si>
    <t>Примерное меню и пищевая ценность приготовляемых блюд (лист 8)</t>
  </si>
  <si>
    <t>Примерное меню и пищевая ценность приготовляемых блюд (лист 9)</t>
  </si>
  <si>
    <t>Примерное меню и пищевая ценность приготовляемых блюд (лист 10)</t>
  </si>
  <si>
    <t>Чай с лимоном</t>
  </si>
  <si>
    <t>Хлеб ржано-пшеничный</t>
  </si>
  <si>
    <t xml:space="preserve">Картофельное пюре с маслом сливочным </t>
  </si>
  <si>
    <t>Компот из быстрозамороженных ягод  (компотная смесь)</t>
  </si>
  <si>
    <t xml:space="preserve">Жаркое по- домашнему </t>
  </si>
  <si>
    <t>Хлеб пшеничный</t>
  </si>
  <si>
    <t xml:space="preserve">Рацион: Школа </t>
  </si>
  <si>
    <t>Рацион: Школа</t>
  </si>
  <si>
    <t>В2</t>
  </si>
  <si>
    <t>ZN</t>
  </si>
  <si>
    <t>I</t>
  </si>
  <si>
    <t xml:space="preserve">I </t>
  </si>
  <si>
    <t>Итого в день</t>
  </si>
  <si>
    <t>% от суточной нормы</t>
  </si>
  <si>
    <t>суточная норма</t>
  </si>
  <si>
    <t>Приложение 8 к СанПиН 2.3/2.4.3590-20</t>
  </si>
  <si>
    <t>ПР</t>
  </si>
  <si>
    <t>Рекомендуется использование продуктов и сырья по ГОСТам на детскую продукцию для питания детей старше 3-х лет и на специализированное сырье для производства продукции детского питания.</t>
  </si>
  <si>
    <t>среднее ЭЦ  завтраки 2 нед</t>
  </si>
  <si>
    <t>среднее ЭЦ обеды 2 нед</t>
  </si>
  <si>
    <t>среднее ЭЦ полдник 2 нед</t>
  </si>
  <si>
    <t>*Итого за Завтрак (осенний период)</t>
  </si>
  <si>
    <t>Макаронные изделия отварные с маслом сливочным</t>
  </si>
  <si>
    <t>№ рец. по сборнику</t>
  </si>
  <si>
    <t>ПРИМЕЧАНИЕ  ** могут быть использованы нектары,морсы, напитки сокосодержащие (в т.ч. обогащенные)</t>
  </si>
  <si>
    <t>Суп картофельный с горохом на м/б</t>
  </si>
  <si>
    <t xml:space="preserve">Компот из смеси сухофруктов     </t>
  </si>
  <si>
    <t>Борщ со свежей капустой на м/б</t>
  </si>
  <si>
    <t xml:space="preserve">Рис отварной с маслом сливочным </t>
  </si>
  <si>
    <t>Суп картофельный (с крупой) на м/б</t>
  </si>
  <si>
    <t xml:space="preserve">Фрукт порционно </t>
  </si>
  <si>
    <t>Каша манная молочная с маслом сливочным</t>
  </si>
  <si>
    <t>Молоко ''Авишка''</t>
  </si>
  <si>
    <t>Напиток лимонный</t>
  </si>
  <si>
    <t xml:space="preserve">Завтрак </t>
  </si>
  <si>
    <t xml:space="preserve">Итого за Завтрак </t>
  </si>
  <si>
    <t>ПРИМЕЧАНИЕ: * замена на весенний период</t>
  </si>
  <si>
    <t>* 56</t>
  </si>
  <si>
    <t xml:space="preserve">Согласовано:
Директор                                                                                                                                                                                                              
  ________________   /                                              /
</t>
  </si>
  <si>
    <t>*45</t>
  </si>
  <si>
    <t>Птица запеченная</t>
  </si>
  <si>
    <t>Каша рисовая молочная с маслом сливочным</t>
  </si>
  <si>
    <t>Рыбные биточки</t>
  </si>
  <si>
    <t>Блинчики с фруктовой начинкой п/ф и сахарной пудрой 160/5</t>
  </si>
  <si>
    <t>осенне-зимний</t>
  </si>
  <si>
    <t>Тефтели "Детские" с соусом 80/50</t>
  </si>
  <si>
    <t>Кондитерское изделие</t>
  </si>
  <si>
    <t>Булочка Ромашка</t>
  </si>
  <si>
    <t>Птица тушенная с овощами</t>
  </si>
  <si>
    <t>Борщ  Сибирский с фасолью на м/б</t>
  </si>
  <si>
    <t>Фрукт порционый</t>
  </si>
  <si>
    <t>Батон с маслом 30/8</t>
  </si>
  <si>
    <t>Рассольник ленинградский на м/б</t>
  </si>
  <si>
    <t>Щи из свежей кпусты с картофелем на м/б</t>
  </si>
  <si>
    <t>Суп с рыбними консервами</t>
  </si>
  <si>
    <t>Каша пшенная рассыпчатая с маслом</t>
  </si>
  <si>
    <t>Пудинг из творога со сметанным соусом</t>
  </si>
  <si>
    <t>Рыба тушеная в томате с овощами</t>
  </si>
  <si>
    <t>Каша молочная "Дружба"</t>
  </si>
  <si>
    <t>Плов  с  мясом</t>
  </si>
  <si>
    <t>Сыр  порционно</t>
  </si>
  <si>
    <t>Батон нарезка</t>
  </si>
  <si>
    <t>0,0,84</t>
  </si>
  <si>
    <t>Котлета "Школьная" запеченная</t>
  </si>
  <si>
    <t>Макароны отварные с сыром 180/20</t>
  </si>
  <si>
    <t>Подгарнировка:Огурец/помидор соленые</t>
  </si>
  <si>
    <t>Капуста квашенная с горошком консервированным(Огурец/помидор соленые)</t>
  </si>
  <si>
    <t>Салат из свеклы с маслом растительным (Огурец/помидор соленые)</t>
  </si>
  <si>
    <t>Салат из свежей капусты   "Молодость"(Огурец/помидор соленые)</t>
  </si>
  <si>
    <t>Капуста квашенная с луком(Огурец/помидор соленые)</t>
  </si>
  <si>
    <t>Салат из белокачанной капусты с морковью(Огурец/помидор соленые)</t>
  </si>
  <si>
    <t>Винегрет овощной(Огурец/помидор соленые)</t>
  </si>
  <si>
    <r>
      <t>Фрукт порционный/Яблоко 1 шт</t>
    </r>
    <r>
      <rPr>
        <sz val="8"/>
        <color indexed="8"/>
        <rFont val="Calibri"/>
        <family val="2"/>
        <charset val="204"/>
      </rPr>
      <t>˟</t>
    </r>
  </si>
  <si>
    <t>Кофейный напиток</t>
  </si>
  <si>
    <t>с 7-11 лет</t>
  </si>
  <si>
    <t>Перспективное меню и пищевая ценность приготовляемых блюд для ОГБОУ,МОУ Валуйского,Волоконовского района на 2025 год</t>
  </si>
  <si>
    <t>Утверждаю:
Генеральный директор
ООО "БизнесЦентр"
_______Звягин Д.В.</t>
  </si>
</sst>
</file>

<file path=xl/styles.xml><?xml version="1.0" encoding="utf-8"?>
<styleSheet xmlns="http://schemas.openxmlformats.org/spreadsheetml/2006/main">
  <numFmts count="4">
    <numFmt numFmtId="182" formatCode="0.0"/>
    <numFmt numFmtId="184" formatCode="0.000"/>
    <numFmt numFmtId="185" formatCode="0.0000"/>
    <numFmt numFmtId="193" formatCode="0.0%"/>
  </numFmts>
  <fonts count="19"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8"/>
      <color indexed="10"/>
      <name val="Arial"/>
      <family val="2"/>
      <charset val="204"/>
    </font>
    <font>
      <sz val="7"/>
      <color indexed="10"/>
      <name val="Arial"/>
      <family val="2"/>
      <charset val="204"/>
    </font>
    <font>
      <sz val="8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u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12">
    <xf numFmtId="0" fontId="0" fillId="0" borderId="0"/>
    <xf numFmtId="0" fontId="3" fillId="0" borderId="0"/>
    <xf numFmtId="0" fontId="1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</cellStyleXfs>
  <cellXfs count="254">
    <xf numFmtId="0" fontId="0" fillId="0" borderId="0" xfId="0"/>
    <xf numFmtId="0" fontId="3" fillId="0" borderId="0" xfId="0" applyFont="1"/>
    <xf numFmtId="0" fontId="3" fillId="2" borderId="0" xfId="0" applyFont="1" applyFill="1"/>
    <xf numFmtId="10" fontId="3" fillId="0" borderId="0" xfId="0" applyNumberFormat="1" applyFont="1"/>
    <xf numFmtId="0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indent="1"/>
    </xf>
    <xf numFmtId="0" fontId="3" fillId="2" borderId="1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left"/>
    </xf>
    <xf numFmtId="0" fontId="3" fillId="2" borderId="1" xfId="0" applyFont="1" applyFill="1" applyBorder="1"/>
    <xf numFmtId="0" fontId="3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left" indent="1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3" fillId="2" borderId="2" xfId="0" applyNumberFormat="1" applyFont="1" applyFill="1" applyBorder="1" applyAlignment="1">
      <alignment horizontal="right"/>
    </xf>
    <xf numFmtId="0" fontId="3" fillId="2" borderId="2" xfId="0" applyFont="1" applyFill="1" applyBorder="1"/>
    <xf numFmtId="0" fontId="3" fillId="2" borderId="2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indent="1"/>
    </xf>
    <xf numFmtId="0" fontId="2" fillId="2" borderId="2" xfId="0" applyNumberFormat="1" applyFont="1" applyFill="1" applyBorder="1" applyAlignment="1">
      <alignment horizontal="left"/>
    </xf>
    <xf numFmtId="2" fontId="2" fillId="2" borderId="2" xfId="0" applyNumberFormat="1" applyFont="1" applyFill="1" applyBorder="1" applyAlignment="1">
      <alignment horizontal="left" indent="1"/>
    </xf>
    <xf numFmtId="0" fontId="0" fillId="2" borderId="2" xfId="0" applyFill="1" applyBorder="1" applyAlignment="1">
      <alignment horizontal="left"/>
    </xf>
    <xf numFmtId="182" fontId="2" fillId="2" borderId="3" xfId="0" applyNumberFormat="1" applyFont="1" applyFill="1" applyBorder="1" applyAlignment="1">
      <alignment horizontal="center" vertical="top"/>
    </xf>
    <xf numFmtId="2" fontId="2" fillId="2" borderId="2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9" fontId="2" fillId="2" borderId="1" xfId="0" applyNumberFormat="1" applyFont="1" applyFill="1" applyBorder="1" applyAlignment="1">
      <alignment horizontal="center" vertical="top"/>
    </xf>
    <xf numFmtId="9" fontId="2" fillId="2" borderId="2" xfId="0" applyNumberFormat="1" applyFont="1" applyFill="1" applyBorder="1" applyAlignment="1">
      <alignment horizontal="center" vertical="top"/>
    </xf>
    <xf numFmtId="182" fontId="2" fillId="2" borderId="1" xfId="0" applyNumberFormat="1" applyFont="1" applyFill="1" applyBorder="1" applyAlignment="1">
      <alignment horizontal="center" vertical="top"/>
    </xf>
    <xf numFmtId="2" fontId="2" fillId="2" borderId="4" xfId="0" applyNumberFormat="1" applyFont="1" applyFill="1" applyBorder="1" applyAlignment="1">
      <alignment horizontal="center" vertical="top"/>
    </xf>
    <xf numFmtId="193" fontId="2" fillId="2" borderId="1" xfId="0" applyNumberFormat="1" applyFont="1" applyFill="1" applyBorder="1" applyAlignment="1">
      <alignment horizontal="center" vertical="top"/>
    </xf>
    <xf numFmtId="193" fontId="2" fillId="2" borderId="2" xfId="0" applyNumberFormat="1" applyFont="1" applyFill="1" applyBorder="1" applyAlignment="1">
      <alignment horizontal="center" vertical="top"/>
    </xf>
    <xf numFmtId="182" fontId="3" fillId="0" borderId="0" xfId="0" applyNumberFormat="1" applyFont="1" applyFill="1" applyBorder="1" applyAlignment="1">
      <alignment horizontal="center" vertical="top"/>
    </xf>
    <xf numFmtId="182" fontId="2" fillId="2" borderId="4" xfId="0" applyNumberFormat="1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top"/>
    </xf>
    <xf numFmtId="2" fontId="3" fillId="2" borderId="2" xfId="0" applyNumberFormat="1" applyFont="1" applyFill="1" applyBorder="1" applyAlignment="1">
      <alignment horizontal="center" vertical="top"/>
    </xf>
    <xf numFmtId="10" fontId="2" fillId="2" borderId="3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left"/>
    </xf>
    <xf numFmtId="0" fontId="4" fillId="0" borderId="0" xfId="0" applyFont="1"/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3" fillId="2" borderId="2" xfId="0" applyNumberFormat="1" applyFont="1" applyFill="1" applyBorder="1" applyAlignment="1">
      <alignment horizontal="center" wrapText="1"/>
    </xf>
    <xf numFmtId="0" fontId="0" fillId="3" borderId="0" xfId="0" applyFont="1" applyFill="1"/>
    <xf numFmtId="2" fontId="3" fillId="0" borderId="0" xfId="0" applyNumberFormat="1" applyFont="1"/>
    <xf numFmtId="182" fontId="2" fillId="2" borderId="2" xfId="0" applyNumberFormat="1" applyFont="1" applyFill="1" applyBorder="1" applyAlignment="1">
      <alignment horizontal="center" vertical="top"/>
    </xf>
    <xf numFmtId="2" fontId="3" fillId="2" borderId="3" xfId="0" applyNumberFormat="1" applyFont="1" applyFill="1" applyBorder="1" applyAlignment="1">
      <alignment horizontal="center" vertical="top" wrapText="1"/>
    </xf>
    <xf numFmtId="0" fontId="0" fillId="0" borderId="0" xfId="0" applyFont="1"/>
    <xf numFmtId="2" fontId="6" fillId="2" borderId="1" xfId="0" applyNumberFormat="1" applyFont="1" applyFill="1" applyBorder="1" applyAlignment="1">
      <alignment horizontal="center" vertical="top"/>
    </xf>
    <xf numFmtId="2" fontId="6" fillId="2" borderId="2" xfId="0" applyNumberFormat="1" applyFont="1" applyFill="1" applyBorder="1" applyAlignment="1">
      <alignment horizontal="center" vertical="top"/>
    </xf>
    <xf numFmtId="0" fontId="6" fillId="2" borderId="0" xfId="0" applyFont="1" applyFill="1"/>
    <xf numFmtId="2" fontId="6" fillId="2" borderId="1" xfId="0" applyNumberFormat="1" applyFont="1" applyFill="1" applyBorder="1" applyAlignment="1">
      <alignment horizontal="center" vertical="top" wrapText="1"/>
    </xf>
    <xf numFmtId="2" fontId="6" fillId="2" borderId="2" xfId="0" applyNumberFormat="1" applyFont="1" applyFill="1" applyBorder="1" applyAlignment="1">
      <alignment horizontal="center" vertical="top" wrapText="1"/>
    </xf>
    <xf numFmtId="0" fontId="6" fillId="2" borderId="3" xfId="0" applyFont="1" applyFill="1" applyBorder="1"/>
    <xf numFmtId="2" fontId="7" fillId="2" borderId="3" xfId="0" applyNumberFormat="1" applyFont="1" applyFill="1" applyBorder="1" applyAlignment="1">
      <alignment horizontal="center" vertical="top"/>
    </xf>
    <xf numFmtId="0" fontId="6" fillId="3" borderId="0" xfId="0" applyFont="1" applyFill="1"/>
    <xf numFmtId="2" fontId="11" fillId="2" borderId="1" xfId="0" applyNumberFormat="1" applyFont="1" applyFill="1" applyBorder="1" applyAlignment="1">
      <alignment horizontal="center" vertical="top" wrapText="1"/>
    </xf>
    <xf numFmtId="2" fontId="11" fillId="2" borderId="2" xfId="0" applyNumberFormat="1" applyFont="1" applyFill="1" applyBorder="1" applyAlignment="1">
      <alignment horizontal="center" vertical="top" wrapText="1"/>
    </xf>
    <xf numFmtId="0" fontId="11" fillId="2" borderId="0" xfId="0" applyFont="1" applyFill="1"/>
    <xf numFmtId="2" fontId="11" fillId="2" borderId="1" xfId="0" applyNumberFormat="1" applyFont="1" applyFill="1" applyBorder="1" applyAlignment="1">
      <alignment horizontal="center" vertical="top"/>
    </xf>
    <xf numFmtId="2" fontId="11" fillId="2" borderId="2" xfId="0" applyNumberFormat="1" applyFont="1" applyFill="1" applyBorder="1" applyAlignment="1">
      <alignment horizontal="center" vertical="top"/>
    </xf>
    <xf numFmtId="0" fontId="11" fillId="2" borderId="1" xfId="0" applyNumberFormat="1" applyFont="1" applyFill="1" applyBorder="1" applyAlignment="1">
      <alignment horizontal="center" vertical="top"/>
    </xf>
    <xf numFmtId="0" fontId="11" fillId="2" borderId="2" xfId="0" applyNumberFormat="1" applyFont="1" applyFill="1" applyBorder="1" applyAlignment="1">
      <alignment horizontal="center" vertical="top"/>
    </xf>
    <xf numFmtId="0" fontId="11" fillId="3" borderId="0" xfId="0" applyFont="1" applyFill="1"/>
    <xf numFmtId="0" fontId="12" fillId="2" borderId="0" xfId="0" applyFont="1" applyFill="1" applyBorder="1" applyAlignment="1">
      <alignment horizontal="left" indent="1"/>
    </xf>
    <xf numFmtId="2" fontId="11" fillId="2" borderId="0" xfId="0" applyNumberFormat="1" applyFont="1" applyFill="1"/>
    <xf numFmtId="0" fontId="11" fillId="0" borderId="0" xfId="0" applyFont="1"/>
    <xf numFmtId="2" fontId="11" fillId="4" borderId="1" xfId="0" applyNumberFormat="1" applyFont="1" applyFill="1" applyBorder="1" applyAlignment="1">
      <alignment horizontal="center" vertical="top"/>
    </xf>
    <xf numFmtId="2" fontId="11" fillId="4" borderId="2" xfId="0" applyNumberFormat="1" applyFont="1" applyFill="1" applyBorder="1" applyAlignment="1">
      <alignment horizontal="center" vertical="top"/>
    </xf>
    <xf numFmtId="0" fontId="11" fillId="4" borderId="0" xfId="0" applyFont="1" applyFill="1"/>
    <xf numFmtId="2" fontId="6" fillId="4" borderId="1" xfId="0" applyNumberFormat="1" applyFont="1" applyFill="1" applyBorder="1" applyAlignment="1">
      <alignment horizontal="center" vertical="top"/>
    </xf>
    <xf numFmtId="0" fontId="6" fillId="4" borderId="0" xfId="0" applyFont="1" applyFill="1"/>
    <xf numFmtId="1" fontId="13" fillId="2" borderId="3" xfId="0" applyNumberFormat="1" applyFont="1" applyFill="1" applyBorder="1" applyAlignment="1">
      <alignment horizontal="center" vertical="center"/>
    </xf>
    <xf numFmtId="1" fontId="13" fillId="2" borderId="3" xfId="0" applyNumberFormat="1" applyFont="1" applyFill="1" applyBorder="1" applyAlignment="1">
      <alignment horizontal="center" vertical="top"/>
    </xf>
    <xf numFmtId="2" fontId="13" fillId="2" borderId="3" xfId="0" applyNumberFormat="1" applyFont="1" applyFill="1" applyBorder="1" applyAlignment="1">
      <alignment horizontal="center" vertical="top"/>
    </xf>
    <xf numFmtId="184" fontId="13" fillId="2" borderId="3" xfId="0" applyNumberFormat="1" applyFont="1" applyFill="1" applyBorder="1" applyAlignment="1">
      <alignment horizontal="center" vertical="top"/>
    </xf>
    <xf numFmtId="0" fontId="13" fillId="2" borderId="3" xfId="0" applyNumberFormat="1" applyFont="1" applyFill="1" applyBorder="1" applyAlignment="1">
      <alignment horizontal="center" vertical="top"/>
    </xf>
    <xf numFmtId="1" fontId="13" fillId="3" borderId="5" xfId="1" applyNumberFormat="1" applyFont="1" applyFill="1" applyBorder="1" applyAlignment="1">
      <alignment horizontal="center" vertical="center"/>
    </xf>
    <xf numFmtId="0" fontId="13" fillId="3" borderId="5" xfId="1" applyNumberFormat="1" applyFont="1" applyFill="1" applyBorder="1" applyAlignment="1">
      <alignment horizontal="center" vertical="top"/>
    </xf>
    <xf numFmtId="2" fontId="14" fillId="3" borderId="6" xfId="0" applyNumberFormat="1" applyFont="1" applyFill="1" applyBorder="1" applyAlignment="1"/>
    <xf numFmtId="2" fontId="13" fillId="3" borderId="5" xfId="1" applyNumberFormat="1" applyFont="1" applyFill="1" applyBorder="1" applyAlignment="1">
      <alignment horizontal="center" vertical="center"/>
    </xf>
    <xf numFmtId="2" fontId="11" fillId="2" borderId="0" xfId="0" applyNumberFormat="1" applyFont="1" applyFill="1" applyBorder="1" applyAlignment="1">
      <alignment horizontal="center" vertical="top"/>
    </xf>
    <xf numFmtId="2" fontId="13" fillId="3" borderId="6" xfId="0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left"/>
    </xf>
    <xf numFmtId="2" fontId="13" fillId="2" borderId="0" xfId="0" applyNumberFormat="1" applyFont="1" applyFill="1" applyAlignment="1">
      <alignment horizontal="left"/>
    </xf>
    <xf numFmtId="0" fontId="13" fillId="2" borderId="0" xfId="0" applyFont="1" applyFill="1"/>
    <xf numFmtId="2" fontId="13" fillId="2" borderId="0" xfId="0" applyNumberFormat="1" applyFont="1" applyFill="1"/>
    <xf numFmtId="0" fontId="13" fillId="2" borderId="0" xfId="0" applyNumberFormat="1" applyFont="1" applyFill="1" applyAlignment="1">
      <alignment horizontal="right"/>
    </xf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Alignment="1">
      <alignment vertical="center"/>
    </xf>
    <xf numFmtId="1" fontId="13" fillId="2" borderId="0" xfId="0" applyNumberFormat="1" applyFont="1" applyFill="1" applyAlignment="1">
      <alignment horizontal="left"/>
    </xf>
    <xf numFmtId="0" fontId="13" fillId="2" borderId="7" xfId="0" applyNumberFormat="1" applyFont="1" applyFill="1" applyBorder="1" applyAlignment="1">
      <alignment horizontal="center" vertical="center" wrapText="1"/>
    </xf>
    <xf numFmtId="0" fontId="13" fillId="2" borderId="8" xfId="0" applyNumberFormat="1" applyFont="1" applyFill="1" applyBorder="1" applyAlignment="1">
      <alignment horizontal="center" vertical="center" wrapText="1"/>
    </xf>
    <xf numFmtId="2" fontId="13" fillId="2" borderId="3" xfId="0" applyNumberFormat="1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>
      <alignment horizontal="center" vertical="center" wrapText="1"/>
    </xf>
    <xf numFmtId="1" fontId="13" fillId="2" borderId="3" xfId="0" applyNumberFormat="1" applyFont="1" applyFill="1" applyBorder="1" applyAlignment="1">
      <alignment horizontal="center"/>
    </xf>
    <xf numFmtId="2" fontId="13" fillId="2" borderId="3" xfId="0" applyNumberFormat="1" applyFont="1" applyFill="1" applyBorder="1" applyAlignment="1">
      <alignment horizontal="center"/>
    </xf>
    <xf numFmtId="1" fontId="13" fillId="2" borderId="3" xfId="0" applyNumberFormat="1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>
      <alignment horizontal="center" vertical="top" wrapText="1"/>
    </xf>
    <xf numFmtId="2" fontId="13" fillId="2" borderId="3" xfId="0" applyNumberFormat="1" applyFont="1" applyFill="1" applyBorder="1" applyAlignment="1">
      <alignment horizontal="center" vertical="top" wrapText="1"/>
    </xf>
    <xf numFmtId="184" fontId="13" fillId="2" borderId="3" xfId="0" applyNumberFormat="1" applyFont="1" applyFill="1" applyBorder="1" applyAlignment="1">
      <alignment horizontal="center" vertical="top" wrapText="1"/>
    </xf>
    <xf numFmtId="0" fontId="13" fillId="2" borderId="3" xfId="0" applyNumberFormat="1" applyFont="1" applyFill="1" applyBorder="1" applyAlignment="1">
      <alignment horizontal="center" vertical="center"/>
    </xf>
    <xf numFmtId="0" fontId="14" fillId="2" borderId="9" xfId="0" applyFont="1" applyFill="1" applyBorder="1" applyAlignment="1"/>
    <xf numFmtId="0" fontId="14" fillId="2" borderId="10" xfId="0" applyFont="1" applyFill="1" applyBorder="1" applyAlignment="1"/>
    <xf numFmtId="1" fontId="14" fillId="2" borderId="3" xfId="0" applyNumberFormat="1" applyFont="1" applyFill="1" applyBorder="1" applyAlignment="1"/>
    <xf numFmtId="2" fontId="14" fillId="2" borderId="3" xfId="0" applyNumberFormat="1" applyFont="1" applyFill="1" applyBorder="1" applyAlignment="1"/>
    <xf numFmtId="0" fontId="14" fillId="2" borderId="10" xfId="0" applyNumberFormat="1" applyFont="1" applyFill="1" applyBorder="1" applyAlignment="1">
      <alignment horizontal="left"/>
    </xf>
    <xf numFmtId="10" fontId="14" fillId="2" borderId="10" xfId="0" applyNumberFormat="1" applyFont="1" applyFill="1" applyBorder="1" applyAlignment="1">
      <alignment horizontal="center" vertical="top"/>
    </xf>
    <xf numFmtId="10" fontId="14" fillId="2" borderId="3" xfId="0" applyNumberFormat="1" applyFont="1" applyFill="1" applyBorder="1" applyAlignment="1">
      <alignment horizontal="center" vertical="top"/>
    </xf>
    <xf numFmtId="193" fontId="14" fillId="2" borderId="3" xfId="0" applyNumberFormat="1" applyFont="1" applyFill="1" applyBorder="1" applyAlignment="1">
      <alignment horizontal="center" vertical="top"/>
    </xf>
    <xf numFmtId="1" fontId="13" fillId="3" borderId="5" xfId="1" applyNumberFormat="1" applyFont="1" applyFill="1" applyBorder="1" applyAlignment="1">
      <alignment horizontal="center" vertical="top"/>
    </xf>
    <xf numFmtId="2" fontId="13" fillId="3" borderId="5" xfId="1" applyNumberFormat="1" applyFont="1" applyFill="1" applyBorder="1" applyAlignment="1">
      <alignment horizontal="center" vertical="top"/>
    </xf>
    <xf numFmtId="2" fontId="13" fillId="2" borderId="3" xfId="0" applyNumberFormat="1" applyFont="1" applyFill="1" applyBorder="1" applyAlignment="1">
      <alignment horizontal="center" vertical="center"/>
    </xf>
    <xf numFmtId="182" fontId="13" fillId="2" borderId="3" xfId="0" applyNumberFormat="1" applyFont="1" applyFill="1" applyBorder="1" applyAlignment="1">
      <alignment horizontal="center" vertical="top"/>
    </xf>
    <xf numFmtId="2" fontId="14" fillId="2" borderId="3" xfId="0" applyNumberFormat="1" applyFont="1" applyFill="1" applyBorder="1" applyAlignment="1">
      <alignment horizontal="center" vertical="top"/>
    </xf>
    <xf numFmtId="182" fontId="14" fillId="2" borderId="3" xfId="0" applyNumberFormat="1" applyFont="1" applyFill="1" applyBorder="1" applyAlignment="1">
      <alignment horizontal="center" vertical="top"/>
    </xf>
    <xf numFmtId="1" fontId="14" fillId="2" borderId="3" xfId="0" applyNumberFormat="1" applyFont="1" applyFill="1" applyBorder="1" applyAlignment="1">
      <alignment horizontal="center" vertical="top"/>
    </xf>
    <xf numFmtId="184" fontId="14" fillId="2" borderId="3" xfId="0" applyNumberFormat="1" applyFont="1" applyFill="1" applyBorder="1" applyAlignment="1">
      <alignment horizontal="center" vertical="top"/>
    </xf>
    <xf numFmtId="1" fontId="13" fillId="3" borderId="5" xfId="0" applyNumberFormat="1" applyFont="1" applyFill="1" applyBorder="1" applyAlignment="1">
      <alignment horizontal="center" vertical="center"/>
    </xf>
    <xf numFmtId="1" fontId="13" fillId="3" borderId="5" xfId="0" applyNumberFormat="1" applyFont="1" applyFill="1" applyBorder="1" applyAlignment="1">
      <alignment horizontal="center" vertical="top"/>
    </xf>
    <xf numFmtId="2" fontId="13" fillId="3" borderId="5" xfId="0" applyNumberFormat="1" applyFont="1" applyFill="1" applyBorder="1" applyAlignment="1">
      <alignment horizontal="center" vertical="top"/>
    </xf>
    <xf numFmtId="184" fontId="13" fillId="3" borderId="5" xfId="0" applyNumberFormat="1" applyFont="1" applyFill="1" applyBorder="1" applyAlignment="1">
      <alignment horizontal="center" vertical="top"/>
    </xf>
    <xf numFmtId="0" fontId="13" fillId="3" borderId="5" xfId="0" applyNumberFormat="1" applyFont="1" applyFill="1" applyBorder="1" applyAlignment="1">
      <alignment horizontal="center" vertical="top"/>
    </xf>
    <xf numFmtId="182" fontId="13" fillId="3" borderId="5" xfId="0" applyNumberFormat="1" applyFont="1" applyFill="1" applyBorder="1" applyAlignment="1">
      <alignment horizontal="center" vertical="top"/>
    </xf>
    <xf numFmtId="0" fontId="13" fillId="3" borderId="5" xfId="1" applyNumberFormat="1" applyFont="1" applyFill="1" applyBorder="1" applyAlignment="1">
      <alignment horizontal="center" vertical="center"/>
    </xf>
    <xf numFmtId="10" fontId="14" fillId="2" borderId="11" xfId="0" applyNumberFormat="1" applyFont="1" applyFill="1" applyBorder="1" applyAlignment="1">
      <alignment horizontal="left"/>
    </xf>
    <xf numFmtId="1" fontId="14" fillId="2" borderId="11" xfId="0" applyNumberFormat="1" applyFont="1" applyFill="1" applyBorder="1" applyAlignment="1"/>
    <xf numFmtId="2" fontId="14" fillId="2" borderId="11" xfId="0" applyNumberFormat="1" applyFont="1" applyFill="1" applyBorder="1" applyAlignment="1">
      <alignment horizontal="center"/>
    </xf>
    <xf numFmtId="0" fontId="14" fillId="2" borderId="11" xfId="0" applyFont="1" applyFill="1" applyBorder="1" applyAlignment="1">
      <alignment horizontal="left"/>
    </xf>
    <xf numFmtId="9" fontId="14" fillId="2" borderId="3" xfId="0" applyNumberFormat="1" applyFont="1" applyFill="1" applyBorder="1" applyAlignment="1">
      <alignment horizontal="center" vertical="top"/>
    </xf>
    <xf numFmtId="0" fontId="14" fillId="2" borderId="0" xfId="0" applyNumberFormat="1" applyFont="1" applyFill="1" applyAlignment="1">
      <alignment horizontal="right"/>
    </xf>
    <xf numFmtId="2" fontId="14" fillId="2" borderId="9" xfId="0" applyNumberFormat="1" applyFont="1" applyFill="1" applyBorder="1" applyAlignment="1"/>
    <xf numFmtId="2" fontId="14" fillId="2" borderId="10" xfId="0" applyNumberFormat="1" applyFont="1" applyFill="1" applyBorder="1" applyAlignment="1"/>
    <xf numFmtId="0" fontId="14" fillId="2" borderId="11" xfId="0" applyNumberFormat="1" applyFont="1" applyFill="1" applyBorder="1" applyAlignment="1">
      <alignment horizontal="left"/>
    </xf>
    <xf numFmtId="1" fontId="13" fillId="2" borderId="3" xfId="1" applyNumberFormat="1" applyFont="1" applyFill="1" applyBorder="1" applyAlignment="1">
      <alignment horizontal="center" vertical="center"/>
    </xf>
    <xf numFmtId="1" fontId="13" fillId="2" borderId="3" xfId="1" applyNumberFormat="1" applyFont="1" applyFill="1" applyBorder="1" applyAlignment="1">
      <alignment horizontal="center" vertical="top"/>
    </xf>
    <xf numFmtId="2" fontId="13" fillId="2" borderId="3" xfId="1" applyNumberFormat="1" applyFont="1" applyFill="1" applyBorder="1" applyAlignment="1">
      <alignment horizontal="center" vertical="top"/>
    </xf>
    <xf numFmtId="0" fontId="13" fillId="2" borderId="3" xfId="1" applyNumberFormat="1" applyFont="1" applyFill="1" applyBorder="1" applyAlignment="1">
      <alignment horizontal="center" vertical="top"/>
    </xf>
    <xf numFmtId="182" fontId="13" fillId="2" borderId="3" xfId="1" applyNumberFormat="1" applyFont="1" applyFill="1" applyBorder="1" applyAlignment="1">
      <alignment horizontal="center" vertical="top"/>
    </xf>
    <xf numFmtId="184" fontId="13" fillId="2" borderId="3" xfId="1" applyNumberFormat="1" applyFont="1" applyFill="1" applyBorder="1" applyAlignment="1">
      <alignment horizontal="center" vertical="top"/>
    </xf>
    <xf numFmtId="0" fontId="13" fillId="2" borderId="4" xfId="0" applyNumberFormat="1" applyFont="1" applyFill="1" applyBorder="1" applyAlignment="1">
      <alignment horizontal="center" vertical="center" wrapText="1"/>
    </xf>
    <xf numFmtId="3" fontId="13" fillId="2" borderId="3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/>
    <xf numFmtId="2" fontId="14" fillId="2" borderId="0" xfId="0" applyNumberFormat="1" applyFont="1" applyFill="1" applyBorder="1" applyAlignment="1">
      <alignment horizontal="left"/>
    </xf>
    <xf numFmtId="10" fontId="14" fillId="2" borderId="0" xfId="7" applyNumberFormat="1" applyFont="1" applyFill="1"/>
    <xf numFmtId="193" fontId="14" fillId="2" borderId="4" xfId="7" applyNumberFormat="1" applyFont="1" applyFill="1" applyBorder="1"/>
    <xf numFmtId="0" fontId="15" fillId="2" borderId="9" xfId="0" applyFont="1" applyFill="1" applyBorder="1" applyAlignment="1">
      <alignment horizontal="left"/>
    </xf>
    <xf numFmtId="0" fontId="15" fillId="2" borderId="10" xfId="0" applyFont="1" applyFill="1" applyBorder="1" applyAlignment="1">
      <alignment horizontal="left"/>
    </xf>
    <xf numFmtId="0" fontId="14" fillId="2" borderId="10" xfId="0" applyFont="1" applyFill="1" applyBorder="1" applyAlignment="1">
      <alignment horizontal="left"/>
    </xf>
    <xf numFmtId="2" fontId="14" fillId="2" borderId="3" xfId="7" applyNumberFormat="1" applyFont="1" applyFill="1" applyBorder="1"/>
    <xf numFmtId="193" fontId="14" fillId="2" borderId="3" xfId="7" applyNumberFormat="1" applyFont="1" applyFill="1" applyBorder="1"/>
    <xf numFmtId="185" fontId="13" fillId="2" borderId="3" xfId="0" applyNumberFormat="1" applyFont="1" applyFill="1" applyBorder="1" applyAlignment="1">
      <alignment horizontal="center" vertical="top"/>
    </xf>
    <xf numFmtId="0" fontId="14" fillId="2" borderId="0" xfId="0" applyFont="1" applyFill="1" applyBorder="1" applyAlignment="1">
      <alignment horizontal="left"/>
    </xf>
    <xf numFmtId="193" fontId="14" fillId="2" borderId="0" xfId="7" applyNumberFormat="1" applyFont="1" applyFill="1"/>
    <xf numFmtId="0" fontId="13" fillId="3" borderId="5" xfId="0" applyNumberFormat="1" applyFont="1" applyFill="1" applyBorder="1" applyAlignment="1">
      <alignment horizontal="center" vertical="center"/>
    </xf>
    <xf numFmtId="2" fontId="13" fillId="3" borderId="5" xfId="0" applyNumberFormat="1" applyFont="1" applyFill="1" applyBorder="1" applyAlignment="1">
      <alignment horizontal="center" vertical="center"/>
    </xf>
    <xf numFmtId="10" fontId="14" fillId="2" borderId="3" xfId="7" applyNumberFormat="1" applyFont="1" applyFill="1" applyBorder="1"/>
    <xf numFmtId="2" fontId="14" fillId="2" borderId="11" xfId="0" applyNumberFormat="1" applyFont="1" applyFill="1" applyBorder="1" applyAlignment="1">
      <alignment horizontal="left"/>
    </xf>
    <xf numFmtId="1" fontId="13" fillId="2" borderId="3" xfId="0" applyNumberFormat="1" applyFont="1" applyFill="1" applyBorder="1" applyAlignment="1">
      <alignment horizontal="center" vertical="top" wrapText="1"/>
    </xf>
    <xf numFmtId="0" fontId="13" fillId="2" borderId="9" xfId="0" applyNumberFormat="1" applyFont="1" applyFill="1" applyBorder="1" applyAlignment="1">
      <alignment horizontal="center" vertical="center"/>
    </xf>
    <xf numFmtId="0" fontId="13" fillId="2" borderId="10" xfId="0" applyNumberFormat="1" applyFont="1" applyFill="1" applyBorder="1" applyAlignment="1">
      <alignment horizontal="left" vertical="center" wrapText="1"/>
    </xf>
    <xf numFmtId="2" fontId="13" fillId="2" borderId="1" xfId="0" applyNumberFormat="1" applyFont="1" applyFill="1" applyBorder="1" applyAlignment="1">
      <alignment horizontal="center" vertical="top"/>
    </xf>
    <xf numFmtId="0" fontId="16" fillId="2" borderId="0" xfId="0" applyFont="1" applyFill="1" applyAlignment="1">
      <alignment horizontal="left" vertical="center"/>
    </xf>
    <xf numFmtId="10" fontId="14" fillId="2" borderId="10" xfId="0" applyNumberFormat="1" applyFont="1" applyFill="1" applyBorder="1" applyAlignment="1">
      <alignment horizontal="left"/>
    </xf>
    <xf numFmtId="184" fontId="14" fillId="2" borderId="3" xfId="0" applyNumberFormat="1" applyFont="1" applyFill="1" applyBorder="1" applyAlignment="1"/>
    <xf numFmtId="1" fontId="13" fillId="4" borderId="3" xfId="0" applyNumberFormat="1" applyFont="1" applyFill="1" applyBorder="1" applyAlignment="1">
      <alignment horizontal="center" vertical="center"/>
    </xf>
    <xf numFmtId="1" fontId="13" fillId="4" borderId="3" xfId="0" applyNumberFormat="1" applyFont="1" applyFill="1" applyBorder="1" applyAlignment="1">
      <alignment horizontal="center" vertical="top"/>
    </xf>
    <xf numFmtId="2" fontId="13" fillId="4" borderId="3" xfId="0" applyNumberFormat="1" applyFont="1" applyFill="1" applyBorder="1" applyAlignment="1">
      <alignment horizontal="center" vertical="top"/>
    </xf>
    <xf numFmtId="184" fontId="13" fillId="4" borderId="3" xfId="0" applyNumberFormat="1" applyFont="1" applyFill="1" applyBorder="1" applyAlignment="1">
      <alignment horizontal="center" vertical="top"/>
    </xf>
    <xf numFmtId="2" fontId="14" fillId="2" borderId="11" xfId="0" applyNumberFormat="1" applyFont="1" applyFill="1" applyBorder="1" applyAlignment="1"/>
    <xf numFmtId="2" fontId="14" fillId="2" borderId="10" xfId="0" applyNumberFormat="1" applyFont="1" applyFill="1" applyBorder="1" applyAlignment="1">
      <alignment horizontal="left"/>
    </xf>
    <xf numFmtId="0" fontId="14" fillId="2" borderId="3" xfId="0" applyNumberFormat="1" applyFont="1" applyFill="1" applyBorder="1" applyAlignment="1">
      <alignment horizontal="center" vertical="top"/>
    </xf>
    <xf numFmtId="0" fontId="13" fillId="4" borderId="3" xfId="0" applyNumberFormat="1" applyFont="1" applyFill="1" applyBorder="1" applyAlignment="1">
      <alignment horizontal="center" vertical="top"/>
    </xf>
    <xf numFmtId="3" fontId="13" fillId="4" borderId="3" xfId="0" applyNumberFormat="1" applyFont="1" applyFill="1" applyBorder="1" applyAlignment="1">
      <alignment horizontal="center" vertical="center"/>
    </xf>
    <xf numFmtId="2" fontId="13" fillId="2" borderId="3" xfId="1" applyNumberFormat="1" applyFont="1" applyFill="1" applyBorder="1" applyAlignment="1">
      <alignment horizontal="center" vertical="center"/>
    </xf>
    <xf numFmtId="0" fontId="13" fillId="2" borderId="3" xfId="1" applyNumberFormat="1" applyFont="1" applyFill="1" applyBorder="1" applyAlignment="1">
      <alignment horizontal="center" vertical="center"/>
    </xf>
    <xf numFmtId="182" fontId="13" fillId="2" borderId="3" xfId="1" applyNumberFormat="1" applyFont="1" applyFill="1" applyBorder="1" applyAlignment="1">
      <alignment horizontal="center" vertical="center"/>
    </xf>
    <xf numFmtId="184" fontId="13" fillId="2" borderId="3" xfId="1" applyNumberFormat="1" applyFont="1" applyFill="1" applyBorder="1" applyAlignment="1">
      <alignment horizontal="center" vertical="center"/>
    </xf>
    <xf numFmtId="3" fontId="13" fillId="3" borderId="5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/>
    </xf>
    <xf numFmtId="0" fontId="17" fillId="2" borderId="0" xfId="0" applyFont="1" applyFill="1" applyAlignment="1">
      <alignment vertical="center"/>
    </xf>
    <xf numFmtId="2" fontId="17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2" fontId="3" fillId="4" borderId="3" xfId="0" applyNumberFormat="1" applyFont="1" applyFill="1" applyBorder="1" applyAlignment="1">
      <alignment horizontal="center" vertical="top" wrapText="1"/>
    </xf>
    <xf numFmtId="2" fontId="13" fillId="3" borderId="5" xfId="1" applyNumberFormat="1" applyFont="1" applyFill="1" applyBorder="1" applyAlignment="1">
      <alignment horizontal="left" vertical="center" wrapText="1"/>
    </xf>
    <xf numFmtId="0" fontId="13" fillId="2" borderId="3" xfId="0" applyNumberFormat="1" applyFont="1" applyFill="1" applyBorder="1" applyAlignment="1">
      <alignment horizontal="left" vertical="center" wrapText="1"/>
    </xf>
    <xf numFmtId="10" fontId="14" fillId="2" borderId="9" xfId="0" applyNumberFormat="1" applyFont="1" applyFill="1" applyBorder="1" applyAlignment="1">
      <alignment horizontal="left"/>
    </xf>
    <xf numFmtId="10" fontId="14" fillId="2" borderId="10" xfId="0" applyNumberFormat="1" applyFont="1" applyFill="1" applyBorder="1" applyAlignment="1">
      <alignment horizontal="left"/>
    </xf>
    <xf numFmtId="10" fontId="14" fillId="2" borderId="11" xfId="0" applyNumberFormat="1" applyFont="1" applyFill="1" applyBorder="1" applyAlignment="1">
      <alignment horizontal="left"/>
    </xf>
    <xf numFmtId="0" fontId="13" fillId="2" borderId="0" xfId="0" applyFont="1" applyFill="1" applyAlignment="1">
      <alignment horizontal="center"/>
    </xf>
    <xf numFmtId="0" fontId="13" fillId="2" borderId="0" xfId="0" applyNumberFormat="1" applyFont="1" applyFill="1" applyAlignment="1">
      <alignment horizontal="center"/>
    </xf>
    <xf numFmtId="0" fontId="13" fillId="2" borderId="9" xfId="0" applyNumberFormat="1" applyFont="1" applyFill="1" applyBorder="1" applyAlignment="1">
      <alignment horizontal="left" vertical="center" wrapText="1"/>
    </xf>
    <xf numFmtId="0" fontId="13" fillId="2" borderId="11" xfId="0" applyNumberFormat="1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indent="1"/>
    </xf>
    <xf numFmtId="0" fontId="14" fillId="2" borderId="10" xfId="0" applyFont="1" applyFill="1" applyBorder="1" applyAlignment="1">
      <alignment horizontal="left" indent="1"/>
    </xf>
    <xf numFmtId="0" fontId="14" fillId="2" borderId="11" xfId="0" applyFont="1" applyFill="1" applyBorder="1" applyAlignment="1">
      <alignment horizontal="left" indent="1"/>
    </xf>
    <xf numFmtId="0" fontId="13" fillId="2" borderId="7" xfId="0" applyNumberFormat="1" applyFont="1" applyFill="1" applyBorder="1" applyAlignment="1">
      <alignment horizontal="center" vertical="center" wrapText="1"/>
    </xf>
    <xf numFmtId="0" fontId="13" fillId="2" borderId="13" xfId="0" applyNumberFormat="1" applyFont="1" applyFill="1" applyBorder="1" applyAlignment="1">
      <alignment horizontal="center" vertical="center" wrapText="1"/>
    </xf>
    <xf numFmtId="0" fontId="13" fillId="2" borderId="14" xfId="0" applyNumberFormat="1" applyFont="1" applyFill="1" applyBorder="1" applyAlignment="1">
      <alignment horizontal="center" vertical="center" wrapText="1"/>
    </xf>
    <xf numFmtId="0" fontId="13" fillId="2" borderId="15" xfId="0" applyNumberFormat="1" applyFont="1" applyFill="1" applyBorder="1" applyAlignment="1">
      <alignment horizontal="center" vertical="center" wrapText="1"/>
    </xf>
    <xf numFmtId="0" fontId="13" fillId="2" borderId="4" xfId="0" applyNumberFormat="1" applyFont="1" applyFill="1" applyBorder="1" applyAlignment="1">
      <alignment horizontal="center" vertical="center" wrapText="1"/>
    </xf>
    <xf numFmtId="0" fontId="13" fillId="2" borderId="8" xfId="0" applyNumberFormat="1" applyFont="1" applyFill="1" applyBorder="1" applyAlignment="1">
      <alignment horizontal="center" vertical="center" wrapText="1"/>
    </xf>
    <xf numFmtId="0" fontId="13" fillId="3" borderId="5" xfId="0" applyNumberFormat="1" applyFont="1" applyFill="1" applyBorder="1" applyAlignment="1">
      <alignment horizontal="left" vertical="center" wrapText="1"/>
    </xf>
    <xf numFmtId="0" fontId="13" fillId="2" borderId="9" xfId="0" applyNumberFormat="1" applyFont="1" applyFill="1" applyBorder="1" applyAlignment="1">
      <alignment horizontal="center" vertical="center" wrapText="1"/>
    </xf>
    <xf numFmtId="0" fontId="13" fillId="2" borderId="10" xfId="0" applyNumberFormat="1" applyFont="1" applyFill="1" applyBorder="1" applyAlignment="1">
      <alignment horizontal="center" vertical="center" wrapText="1"/>
    </xf>
    <xf numFmtId="0" fontId="13" fillId="2" borderId="11" xfId="0" applyNumberFormat="1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>
      <alignment horizontal="center" vertical="center" wrapText="1"/>
    </xf>
    <xf numFmtId="0" fontId="14" fillId="2" borderId="12" xfId="0" applyNumberFormat="1" applyFont="1" applyFill="1" applyBorder="1" applyAlignment="1">
      <alignment horizontal="right"/>
    </xf>
    <xf numFmtId="0" fontId="14" fillId="2" borderId="0" xfId="0" applyNumberFormat="1" applyFont="1" applyFill="1" applyAlignment="1">
      <alignment horizontal="right"/>
    </xf>
    <xf numFmtId="0" fontId="14" fillId="2" borderId="0" xfId="0" applyNumberFormat="1" applyFont="1" applyFill="1" applyAlignment="1">
      <alignment horizontal="left"/>
    </xf>
    <xf numFmtId="0" fontId="14" fillId="2" borderId="25" xfId="0" applyFont="1" applyFill="1" applyBorder="1" applyAlignment="1">
      <alignment horizontal="left" indent="1"/>
    </xf>
    <xf numFmtId="0" fontId="14" fillId="2" borderId="26" xfId="0" applyFont="1" applyFill="1" applyBorder="1" applyAlignment="1">
      <alignment horizontal="left" indent="1"/>
    </xf>
    <xf numFmtId="0" fontId="14" fillId="2" borderId="27" xfId="0" applyFont="1" applyFill="1" applyBorder="1" applyAlignment="1">
      <alignment horizontal="left" indent="1"/>
    </xf>
    <xf numFmtId="1" fontId="13" fillId="2" borderId="9" xfId="0" applyNumberFormat="1" applyFont="1" applyFill="1" applyBorder="1" applyAlignment="1">
      <alignment horizontal="center" vertical="center"/>
    </xf>
    <xf numFmtId="1" fontId="13" fillId="2" borderId="11" xfId="0" applyNumberFormat="1" applyFont="1" applyFill="1" applyBorder="1" applyAlignment="1">
      <alignment horizontal="center" vertical="center"/>
    </xf>
    <xf numFmtId="0" fontId="13" fillId="2" borderId="16" xfId="0" applyNumberFormat="1" applyFont="1" applyFill="1" applyBorder="1" applyAlignment="1">
      <alignment horizontal="left" vertical="center" wrapText="1"/>
    </xf>
    <xf numFmtId="0" fontId="13" fillId="2" borderId="17" xfId="0" applyNumberFormat="1" applyFont="1" applyFill="1" applyBorder="1" applyAlignment="1">
      <alignment horizontal="left" vertical="center" wrapText="1"/>
    </xf>
    <xf numFmtId="0" fontId="13" fillId="3" borderId="18" xfId="1" applyNumberFormat="1" applyFont="1" applyFill="1" applyBorder="1" applyAlignment="1">
      <alignment horizontal="left" vertical="center" wrapText="1"/>
    </xf>
    <xf numFmtId="0" fontId="13" fillId="3" borderId="19" xfId="1" applyNumberFormat="1" applyFont="1" applyFill="1" applyBorder="1" applyAlignment="1">
      <alignment horizontal="left" vertical="center" wrapText="1"/>
    </xf>
    <xf numFmtId="0" fontId="13" fillId="4" borderId="9" xfId="0" applyNumberFormat="1" applyFont="1" applyFill="1" applyBorder="1" applyAlignment="1">
      <alignment horizontal="left" vertical="center" wrapText="1"/>
    </xf>
    <xf numFmtId="0" fontId="13" fillId="4" borderId="11" xfId="0" applyNumberFormat="1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/>
    </xf>
    <xf numFmtId="0" fontId="14" fillId="2" borderId="10" xfId="0" applyFont="1" applyFill="1" applyBorder="1" applyAlignment="1">
      <alignment horizontal="left"/>
    </xf>
    <xf numFmtId="0" fontId="14" fillId="2" borderId="11" xfId="0" applyFont="1" applyFill="1" applyBorder="1" applyAlignment="1">
      <alignment horizontal="left"/>
    </xf>
    <xf numFmtId="0" fontId="13" fillId="3" borderId="5" xfId="1" applyNumberFormat="1" applyFont="1" applyFill="1" applyBorder="1" applyAlignment="1">
      <alignment horizontal="left" vertical="center" wrapText="1"/>
    </xf>
    <xf numFmtId="0" fontId="13" fillId="4" borderId="16" xfId="0" applyNumberFormat="1" applyFont="1" applyFill="1" applyBorder="1" applyAlignment="1">
      <alignment horizontal="left" vertical="center" wrapText="1"/>
    </xf>
    <xf numFmtId="0" fontId="13" fillId="4" borderId="17" xfId="0" applyNumberFormat="1" applyFont="1" applyFill="1" applyBorder="1" applyAlignment="1">
      <alignment horizontal="left" vertical="center" wrapText="1"/>
    </xf>
    <xf numFmtId="0" fontId="13" fillId="2" borderId="23" xfId="1" applyNumberFormat="1" applyFont="1" applyFill="1" applyBorder="1" applyAlignment="1">
      <alignment horizontal="left" vertical="center" wrapText="1"/>
    </xf>
    <xf numFmtId="0" fontId="13" fillId="2" borderId="24" xfId="1" applyNumberFormat="1" applyFont="1" applyFill="1" applyBorder="1" applyAlignment="1">
      <alignment horizontal="left" vertical="center" wrapText="1"/>
    </xf>
    <xf numFmtId="0" fontId="13" fillId="4" borderId="3" xfId="0" applyNumberFormat="1" applyFont="1" applyFill="1" applyBorder="1" applyAlignment="1">
      <alignment horizontal="left" vertical="center" wrapText="1"/>
    </xf>
    <xf numFmtId="0" fontId="13" fillId="2" borderId="0" xfId="0" applyNumberFormat="1" applyFont="1" applyFill="1" applyAlignment="1">
      <alignment horizontal="right"/>
    </xf>
    <xf numFmtId="0" fontId="13" fillId="2" borderId="9" xfId="1" applyNumberFormat="1" applyFont="1" applyFill="1" applyBorder="1" applyAlignment="1">
      <alignment horizontal="left" vertical="center" wrapText="1"/>
    </xf>
    <xf numFmtId="0" fontId="13" fillId="2" borderId="11" xfId="1" applyNumberFormat="1" applyFont="1" applyFill="1" applyBorder="1" applyAlignment="1">
      <alignment horizontal="left" vertical="center" wrapText="1"/>
    </xf>
    <xf numFmtId="0" fontId="13" fillId="3" borderId="21" xfId="1" applyNumberFormat="1" applyFont="1" applyFill="1" applyBorder="1" applyAlignment="1">
      <alignment horizontal="left" vertical="center" wrapText="1"/>
    </xf>
    <xf numFmtId="0" fontId="13" fillId="3" borderId="22" xfId="1" applyNumberFormat="1" applyFont="1" applyFill="1" applyBorder="1" applyAlignment="1">
      <alignment horizontal="left" vertical="center" wrapText="1"/>
    </xf>
    <xf numFmtId="1" fontId="13" fillId="4" borderId="3" xfId="0" applyNumberFormat="1" applyFont="1" applyFill="1" applyBorder="1" applyAlignment="1">
      <alignment horizontal="center" vertical="center"/>
    </xf>
    <xf numFmtId="2" fontId="14" fillId="2" borderId="9" xfId="0" applyNumberFormat="1" applyFont="1" applyFill="1" applyBorder="1" applyAlignment="1">
      <alignment horizontal="left" indent="1"/>
    </xf>
    <xf numFmtId="2" fontId="14" fillId="2" borderId="10" xfId="0" applyNumberFormat="1" applyFont="1" applyFill="1" applyBorder="1" applyAlignment="1">
      <alignment horizontal="left" indent="1"/>
    </xf>
    <xf numFmtId="2" fontId="14" fillId="2" borderId="11" xfId="0" applyNumberFormat="1" applyFont="1" applyFill="1" applyBorder="1" applyAlignment="1">
      <alignment horizontal="left" indent="1"/>
    </xf>
    <xf numFmtId="0" fontId="13" fillId="3" borderId="20" xfId="0" applyNumberFormat="1" applyFont="1" applyFill="1" applyBorder="1" applyAlignment="1">
      <alignment horizontal="left" vertical="center" wrapText="1"/>
    </xf>
    <xf numFmtId="0" fontId="13" fillId="3" borderId="6" xfId="0" applyNumberFormat="1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indent="1"/>
    </xf>
    <xf numFmtId="0" fontId="13" fillId="3" borderId="20" xfId="1" applyNumberFormat="1" applyFont="1" applyFill="1" applyBorder="1" applyAlignment="1">
      <alignment horizontal="left" vertical="center" wrapText="1"/>
    </xf>
    <xf numFmtId="0" fontId="13" fillId="3" borderId="6" xfId="1" applyNumberFormat="1" applyFont="1" applyFill="1" applyBorder="1" applyAlignment="1">
      <alignment horizontal="left" vertical="center" wrapText="1"/>
    </xf>
    <xf numFmtId="0" fontId="3" fillId="2" borderId="2" xfId="0" applyNumberFormat="1" applyFont="1" applyFill="1" applyBorder="1" applyAlignment="1">
      <alignment horizontal="center" wrapText="1"/>
    </xf>
    <xf numFmtId="0" fontId="9" fillId="4" borderId="0" xfId="0" applyNumberFormat="1" applyFont="1" applyFill="1" applyAlignment="1">
      <alignment horizontal="center"/>
    </xf>
    <xf numFmtId="0" fontId="9" fillId="4" borderId="1" xfId="0" applyNumberFormat="1" applyFont="1" applyFill="1" applyBorder="1" applyAlignment="1">
      <alignment horizontal="center"/>
    </xf>
    <xf numFmtId="0" fontId="3" fillId="2" borderId="8" xfId="0" applyNumberFormat="1" applyFont="1" applyFill="1" applyBorder="1" applyAlignment="1">
      <alignment horizontal="center" wrapText="1"/>
    </xf>
    <xf numFmtId="0" fontId="2" fillId="2" borderId="4" xfId="0" applyNumberFormat="1" applyFont="1" applyFill="1" applyBorder="1" applyAlignment="1">
      <alignment horizontal="center" wrapText="1"/>
    </xf>
    <xf numFmtId="0" fontId="2" fillId="2" borderId="2" xfId="0" applyNumberFormat="1" applyFont="1" applyFill="1" applyBorder="1" applyAlignment="1">
      <alignment horizontal="center" wrapText="1"/>
    </xf>
    <xf numFmtId="0" fontId="2" fillId="2" borderId="8" xfId="0" applyNumberFormat="1" applyFont="1" applyFill="1" applyBorder="1" applyAlignment="1">
      <alignment horizontal="center" wrapText="1"/>
    </xf>
    <xf numFmtId="0" fontId="18" fillId="2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center" wrapText="1"/>
    </xf>
    <xf numFmtId="0" fontId="13" fillId="2" borderId="0" xfId="0" applyFont="1" applyFill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</cellXfs>
  <cellStyles count="12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Процентный" xfId="7" builtinId="5"/>
    <cellStyle name="Процентный 2" xfId="8"/>
    <cellStyle name="Процентный 3" xfId="9"/>
    <cellStyle name="Процентный 4" xfId="10"/>
    <cellStyle name="Процентный 5" xfId="1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Y330"/>
  <sheetViews>
    <sheetView tabSelected="1" view="pageBreakPreview" zoomScale="110" zoomScaleNormal="80" zoomScaleSheetLayoutView="110" workbookViewId="0">
      <selection activeCell="A10" sqref="A10:T10"/>
    </sheetView>
  </sheetViews>
  <sheetFormatPr defaultRowHeight="11.25"/>
  <cols>
    <col min="1" max="1" width="9.5" style="181" customWidth="1"/>
    <col min="2" max="2" width="16.33203125" style="181" customWidth="1"/>
    <col min="3" max="3" width="25.1640625" style="181" customWidth="1"/>
    <col min="4" max="4" width="8" style="82" customWidth="1"/>
    <col min="5" max="5" width="9.6640625" style="82" customWidth="1"/>
    <col min="6" max="6" width="9.83203125" style="83" customWidth="1"/>
    <col min="7" max="7" width="9.6640625" style="82" customWidth="1"/>
    <col min="8" max="8" width="8.5" style="82" customWidth="1"/>
    <col min="9" max="9" width="10" style="82" customWidth="1"/>
    <col min="10" max="10" width="9" style="82" customWidth="1"/>
    <col min="11" max="11" width="9.83203125" style="82" customWidth="1"/>
    <col min="12" max="12" width="8.83203125" style="82" customWidth="1"/>
    <col min="13" max="13" width="10.33203125" style="82" customWidth="1"/>
    <col min="14" max="14" width="9.5" style="82" customWidth="1"/>
    <col min="15" max="15" width="9.33203125" style="82" customWidth="1"/>
    <col min="16" max="17" width="9.1640625" style="82" customWidth="1"/>
    <col min="18" max="18" width="9" style="82" customWidth="1"/>
    <col min="19" max="19" width="9.5" style="82" customWidth="1"/>
    <col min="20" max="20" width="8.6640625" style="82" customWidth="1"/>
    <col min="21" max="21" width="9.1640625" style="13" customWidth="1"/>
    <col min="22" max="23" width="9.1640625" style="22" customWidth="1"/>
    <col min="24" max="24" width="11.6640625" style="22" customWidth="1"/>
  </cols>
  <sheetData>
    <row r="1" spans="1:24" ht="48.75" customHeight="1">
      <c r="A1" s="252" t="s">
        <v>79</v>
      </c>
      <c r="B1" s="252"/>
      <c r="C1" s="252"/>
      <c r="D1" s="252"/>
      <c r="Q1" s="251" t="s">
        <v>117</v>
      </c>
      <c r="R1" s="251"/>
      <c r="S1" s="251"/>
      <c r="T1" s="251"/>
    </row>
    <row r="2" spans="1:24" s="1" customFormat="1" ht="11.25" customHeight="1">
      <c r="A2" s="253"/>
      <c r="B2" s="253"/>
      <c r="C2" s="253"/>
      <c r="D2" s="253"/>
      <c r="E2" s="84"/>
      <c r="F2" s="85"/>
      <c r="G2" s="84"/>
      <c r="H2" s="84"/>
      <c r="I2" s="84"/>
      <c r="J2" s="84"/>
      <c r="K2" s="84"/>
      <c r="L2" s="82"/>
      <c r="M2" s="229"/>
      <c r="N2" s="229"/>
      <c r="O2" s="229"/>
      <c r="P2" s="229"/>
      <c r="Q2" s="229"/>
      <c r="R2" s="229"/>
      <c r="S2" s="229"/>
      <c r="T2" s="229"/>
      <c r="U2" s="247"/>
      <c r="V2" s="243"/>
      <c r="W2" s="41"/>
      <c r="X2" s="243"/>
    </row>
    <row r="3" spans="1:24" s="1" customFormat="1" ht="11.25" customHeight="1">
      <c r="A3" s="253"/>
      <c r="B3" s="253"/>
      <c r="C3" s="253"/>
      <c r="D3" s="253"/>
      <c r="E3" s="84"/>
      <c r="F3" s="85"/>
      <c r="G3" s="84"/>
      <c r="H3" s="84"/>
      <c r="I3" s="84"/>
      <c r="J3" s="84"/>
      <c r="K3" s="84"/>
      <c r="L3" s="82"/>
      <c r="M3" s="86"/>
      <c r="N3" s="86"/>
      <c r="O3" s="86"/>
      <c r="P3" s="86"/>
      <c r="Q3" s="86"/>
      <c r="R3" s="86"/>
      <c r="S3" s="86"/>
      <c r="T3" s="86"/>
      <c r="U3" s="248"/>
      <c r="V3" s="243"/>
      <c r="W3" s="41"/>
      <c r="X3" s="243"/>
    </row>
    <row r="4" spans="1:24" s="1" customFormat="1" ht="15.75" customHeight="1">
      <c r="A4" s="244" t="s">
        <v>116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5"/>
      <c r="U4" s="248"/>
      <c r="V4" s="243"/>
      <c r="W4" s="41"/>
      <c r="X4" s="243"/>
    </row>
    <row r="5" spans="1:24" s="1" customFormat="1" ht="11.25" customHeight="1">
      <c r="A5" s="87" t="s">
        <v>47</v>
      </c>
      <c r="B5" s="88"/>
      <c r="C5" s="88"/>
      <c r="D5" s="82"/>
      <c r="E5" s="82"/>
      <c r="F5" s="85"/>
      <c r="G5" s="189" t="s">
        <v>0</v>
      </c>
      <c r="H5" s="189"/>
      <c r="I5" s="189"/>
      <c r="J5" s="84"/>
      <c r="K5" s="84"/>
      <c r="L5" s="207" t="s">
        <v>1</v>
      </c>
      <c r="M5" s="207"/>
      <c r="N5" s="188" t="s">
        <v>85</v>
      </c>
      <c r="O5" s="188"/>
      <c r="P5" s="188"/>
      <c r="Q5" s="188"/>
      <c r="R5" s="84"/>
      <c r="S5" s="84"/>
      <c r="T5" s="84"/>
      <c r="U5" s="248"/>
      <c r="V5" s="243"/>
      <c r="W5" s="41"/>
      <c r="X5" s="243"/>
    </row>
    <row r="6" spans="1:24" s="1" customFormat="1" ht="11.25" customHeight="1">
      <c r="A6" s="88" t="s">
        <v>77</v>
      </c>
      <c r="B6" s="88"/>
      <c r="C6" s="88"/>
      <c r="D6" s="207" t="s">
        <v>2</v>
      </c>
      <c r="E6" s="207"/>
      <c r="F6" s="207"/>
      <c r="G6" s="89">
        <v>1</v>
      </c>
      <c r="H6" s="84"/>
      <c r="I6" s="82"/>
      <c r="J6" s="82"/>
      <c r="K6" s="82"/>
      <c r="L6" s="207" t="s">
        <v>3</v>
      </c>
      <c r="M6" s="207"/>
      <c r="N6" s="189" t="s">
        <v>115</v>
      </c>
      <c r="O6" s="189"/>
      <c r="P6" s="189"/>
      <c r="Q6" s="189"/>
      <c r="R6" s="189"/>
      <c r="S6" s="189"/>
      <c r="T6" s="189"/>
      <c r="U6" s="249"/>
      <c r="V6" s="246"/>
      <c r="W6" s="41"/>
      <c r="X6" s="243"/>
    </row>
    <row r="7" spans="1:24" s="1" customFormat="1" ht="21.75" customHeight="1">
      <c r="A7" s="199" t="s">
        <v>4</v>
      </c>
      <c r="B7" s="195" t="s">
        <v>5</v>
      </c>
      <c r="C7" s="196"/>
      <c r="D7" s="199" t="s">
        <v>6</v>
      </c>
      <c r="E7" s="90"/>
      <c r="F7" s="202" t="s">
        <v>7</v>
      </c>
      <c r="G7" s="203"/>
      <c r="H7" s="204"/>
      <c r="I7" s="199" t="s">
        <v>8</v>
      </c>
      <c r="J7" s="202" t="s">
        <v>9</v>
      </c>
      <c r="K7" s="203"/>
      <c r="L7" s="203"/>
      <c r="M7" s="203"/>
      <c r="N7" s="204"/>
      <c r="O7" s="202" t="s">
        <v>10</v>
      </c>
      <c r="P7" s="203"/>
      <c r="Q7" s="203"/>
      <c r="R7" s="203"/>
      <c r="S7" s="203"/>
      <c r="T7" s="204"/>
      <c r="U7" s="4"/>
      <c r="V7" s="17"/>
      <c r="W7" s="17"/>
      <c r="X7" s="17"/>
    </row>
    <row r="8" spans="1:24" s="1" customFormat="1" ht="21" customHeight="1">
      <c r="A8" s="200"/>
      <c r="B8" s="197"/>
      <c r="C8" s="198"/>
      <c r="D8" s="200"/>
      <c r="E8" s="91"/>
      <c r="F8" s="92" t="s">
        <v>11</v>
      </c>
      <c r="G8" s="93" t="s">
        <v>12</v>
      </c>
      <c r="H8" s="93" t="s">
        <v>13</v>
      </c>
      <c r="I8" s="200"/>
      <c r="J8" s="93" t="s">
        <v>14</v>
      </c>
      <c r="K8" s="93" t="s">
        <v>49</v>
      </c>
      <c r="L8" s="93" t="s">
        <v>15</v>
      </c>
      <c r="M8" s="93" t="s">
        <v>16</v>
      </c>
      <c r="N8" s="93" t="s">
        <v>17</v>
      </c>
      <c r="O8" s="93" t="s">
        <v>18</v>
      </c>
      <c r="P8" s="93" t="s">
        <v>19</v>
      </c>
      <c r="Q8" s="93" t="s">
        <v>50</v>
      </c>
      <c r="R8" s="93" t="s">
        <v>51</v>
      </c>
      <c r="S8" s="93" t="s">
        <v>20</v>
      </c>
      <c r="T8" s="93" t="s">
        <v>21</v>
      </c>
      <c r="U8" s="4"/>
      <c r="V8" s="17"/>
      <c r="W8" s="17"/>
      <c r="X8" s="17"/>
    </row>
    <row r="9" spans="1:24" s="1" customFormat="1" ht="11.25" customHeight="1">
      <c r="A9" s="71">
        <v>1</v>
      </c>
      <c r="B9" s="212">
        <v>2</v>
      </c>
      <c r="C9" s="213"/>
      <c r="D9" s="94">
        <v>3</v>
      </c>
      <c r="E9" s="94"/>
      <c r="F9" s="95">
        <v>4</v>
      </c>
      <c r="G9" s="94">
        <v>5</v>
      </c>
      <c r="H9" s="94">
        <v>6</v>
      </c>
      <c r="I9" s="94">
        <v>7</v>
      </c>
      <c r="J9" s="94">
        <v>8</v>
      </c>
      <c r="K9" s="94">
        <v>9</v>
      </c>
      <c r="L9" s="94">
        <v>10</v>
      </c>
      <c r="M9" s="94">
        <v>11</v>
      </c>
      <c r="N9" s="94">
        <v>12</v>
      </c>
      <c r="O9" s="94">
        <v>13</v>
      </c>
      <c r="P9" s="94">
        <v>14</v>
      </c>
      <c r="Q9" s="94">
        <v>15</v>
      </c>
      <c r="R9" s="94">
        <v>16</v>
      </c>
      <c r="S9" s="94">
        <v>17</v>
      </c>
      <c r="T9" s="94">
        <v>18</v>
      </c>
      <c r="U9" s="5"/>
      <c r="V9" s="18"/>
      <c r="W9" s="18"/>
      <c r="X9" s="18"/>
    </row>
    <row r="10" spans="1:24" s="1" customFormat="1" ht="11.25" customHeight="1">
      <c r="A10" s="192" t="s">
        <v>75</v>
      </c>
      <c r="B10" s="193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4"/>
      <c r="U10" s="6"/>
      <c r="V10" s="19"/>
      <c r="W10" s="19"/>
      <c r="X10" s="19"/>
    </row>
    <row r="11" spans="1:24" s="57" customFormat="1" ht="20.25" customHeight="1">
      <c r="A11" s="96" t="s">
        <v>57</v>
      </c>
      <c r="B11" s="190" t="s">
        <v>106</v>
      </c>
      <c r="C11" s="191"/>
      <c r="D11" s="97">
        <v>65</v>
      </c>
      <c r="E11" s="97">
        <v>13.93</v>
      </c>
      <c r="F11" s="98">
        <v>0.66</v>
      </c>
      <c r="G11" s="98">
        <v>0.06</v>
      </c>
      <c r="H11" s="98">
        <v>0.96</v>
      </c>
      <c r="I11" s="98">
        <v>7.02</v>
      </c>
      <c r="J11" s="99">
        <v>2.4E-2</v>
      </c>
      <c r="K11" s="98">
        <v>1.7999999999999999E-2</v>
      </c>
      <c r="L11" s="98">
        <v>6</v>
      </c>
      <c r="M11" s="99">
        <v>0.03</v>
      </c>
      <c r="N11" s="97">
        <v>0.42</v>
      </c>
      <c r="O11" s="98">
        <v>8.4</v>
      </c>
      <c r="P11" s="98">
        <v>15.6</v>
      </c>
      <c r="Q11" s="99" t="s">
        <v>103</v>
      </c>
      <c r="R11" s="99">
        <v>0</v>
      </c>
      <c r="S11" s="98">
        <v>12</v>
      </c>
      <c r="T11" s="98">
        <v>0.54</v>
      </c>
      <c r="U11" s="55"/>
      <c r="V11" s="56"/>
      <c r="W11" s="56"/>
      <c r="X11" s="56"/>
    </row>
    <row r="12" spans="1:24" s="57" customFormat="1" ht="12" customHeight="1">
      <c r="A12" s="71">
        <v>291</v>
      </c>
      <c r="B12" s="190" t="s">
        <v>100</v>
      </c>
      <c r="C12" s="191"/>
      <c r="D12" s="72">
        <v>220</v>
      </c>
      <c r="E12" s="73">
        <v>50.45</v>
      </c>
      <c r="F12" s="73">
        <v>20.492999999999999</v>
      </c>
      <c r="G12" s="73">
        <v>23.95</v>
      </c>
      <c r="H12" s="73">
        <v>43.295999999999999</v>
      </c>
      <c r="I12" s="73">
        <v>470.77</v>
      </c>
      <c r="J12" s="73">
        <v>0.748</v>
      </c>
      <c r="K12" s="73">
        <v>0.72599999999999998</v>
      </c>
      <c r="L12" s="73">
        <v>3.93</v>
      </c>
      <c r="M12" s="73">
        <v>0.42</v>
      </c>
      <c r="N12" s="75">
        <v>0</v>
      </c>
      <c r="O12" s="73">
        <v>40.600999999999999</v>
      </c>
      <c r="P12" s="73">
        <v>276.51</v>
      </c>
      <c r="Q12" s="72">
        <v>0</v>
      </c>
      <c r="R12" s="72">
        <v>0</v>
      </c>
      <c r="S12" s="73">
        <v>59.026000000000003</v>
      </c>
      <c r="T12" s="73">
        <v>2.5409999999999999</v>
      </c>
      <c r="U12" s="58"/>
      <c r="V12" s="59"/>
      <c r="W12" s="59"/>
      <c r="X12" s="59"/>
    </row>
    <row r="13" spans="1:24" s="57" customFormat="1" ht="11.25" customHeight="1">
      <c r="A13" s="100">
        <v>41</v>
      </c>
      <c r="B13" s="190" t="s">
        <v>101</v>
      </c>
      <c r="C13" s="191"/>
      <c r="D13" s="72">
        <v>5</v>
      </c>
      <c r="E13" s="73">
        <v>6</v>
      </c>
      <c r="F13" s="73">
        <v>1.33</v>
      </c>
      <c r="G13" s="74">
        <v>1.43</v>
      </c>
      <c r="H13" s="74">
        <v>0.02</v>
      </c>
      <c r="I13" s="74">
        <v>17.8</v>
      </c>
      <c r="J13" s="74">
        <v>0</v>
      </c>
      <c r="K13" s="74">
        <f>0.01*D13/30</f>
        <v>1.6666666666666668E-3</v>
      </c>
      <c r="L13" s="74">
        <v>0</v>
      </c>
      <c r="M13" s="74">
        <v>29.5</v>
      </c>
      <c r="N13" s="74">
        <v>0</v>
      </c>
      <c r="O13" s="74">
        <v>0.5</v>
      </c>
      <c r="P13" s="74">
        <v>1</v>
      </c>
      <c r="Q13" s="74">
        <f>0.008*D13/30</f>
        <v>1.3333333333333333E-3</v>
      </c>
      <c r="R13" s="74">
        <f>0.001*D13/30</f>
        <v>1.6666666666666666E-4</v>
      </c>
      <c r="S13" s="74">
        <v>0</v>
      </c>
      <c r="T13" s="74">
        <v>0</v>
      </c>
      <c r="U13" s="58"/>
      <c r="V13" s="59"/>
      <c r="W13" s="59"/>
      <c r="X13" s="59"/>
    </row>
    <row r="14" spans="1:24" s="57" customFormat="1" ht="11.25" customHeight="1">
      <c r="A14" s="100" t="s">
        <v>57</v>
      </c>
      <c r="B14" s="190" t="s">
        <v>102</v>
      </c>
      <c r="C14" s="191"/>
      <c r="D14" s="72">
        <v>30</v>
      </c>
      <c r="E14" s="73">
        <v>3.39</v>
      </c>
      <c r="F14" s="73">
        <f>1.52*D14/30</f>
        <v>1.52</v>
      </c>
      <c r="G14" s="74">
        <f>0.16*D14/30</f>
        <v>0.16</v>
      </c>
      <c r="H14" s="74">
        <f>9.84*D14/30</f>
        <v>9.84</v>
      </c>
      <c r="I14" s="74">
        <f>F14*4+G14*9+H14*4</f>
        <v>46.879999999999995</v>
      </c>
      <c r="J14" s="74">
        <f>0.02*D14/30</f>
        <v>0.02</v>
      </c>
      <c r="K14" s="74">
        <f>0.01*D14/30</f>
        <v>0.01</v>
      </c>
      <c r="L14" s="74">
        <f>0.44*D14/30</f>
        <v>0.44</v>
      </c>
      <c r="M14" s="74">
        <v>0</v>
      </c>
      <c r="N14" s="74">
        <f>0.7*D14/30</f>
        <v>0.7</v>
      </c>
      <c r="O14" s="74">
        <f>4*D14/30</f>
        <v>4</v>
      </c>
      <c r="P14" s="74">
        <f>13*D14/30</f>
        <v>13</v>
      </c>
      <c r="Q14" s="74">
        <f>0.008*D14/30</f>
        <v>8.0000000000000002E-3</v>
      </c>
      <c r="R14" s="74">
        <f>0.001*D14/30</f>
        <v>1E-3</v>
      </c>
      <c r="S14" s="74">
        <v>0</v>
      </c>
      <c r="T14" s="74">
        <f>0.22*D14/30</f>
        <v>0.22</v>
      </c>
      <c r="U14" s="58"/>
      <c r="V14" s="59"/>
      <c r="W14" s="59"/>
      <c r="X14" s="59"/>
    </row>
    <row r="15" spans="1:24" s="57" customFormat="1" ht="12.75" customHeight="1">
      <c r="A15" s="71">
        <v>377</v>
      </c>
      <c r="B15" s="184" t="s">
        <v>41</v>
      </c>
      <c r="C15" s="184"/>
      <c r="D15" s="72">
        <v>200</v>
      </c>
      <c r="E15" s="73">
        <v>4.53</v>
      </c>
      <c r="F15" s="73">
        <v>0.26</v>
      </c>
      <c r="G15" s="73">
        <v>0.06</v>
      </c>
      <c r="H15" s="73">
        <v>15.22</v>
      </c>
      <c r="I15" s="73">
        <f>F15*4+G15*9+H15*4</f>
        <v>62.46</v>
      </c>
      <c r="J15" s="73">
        <v>0</v>
      </c>
      <c r="K15" s="73">
        <v>0.01</v>
      </c>
      <c r="L15" s="73">
        <v>2.9</v>
      </c>
      <c r="M15" s="75">
        <v>0</v>
      </c>
      <c r="N15" s="73">
        <v>0.06</v>
      </c>
      <c r="O15" s="73">
        <v>8.0500000000000007</v>
      </c>
      <c r="P15" s="73">
        <v>9.7799999999999994</v>
      </c>
      <c r="Q15" s="73">
        <v>1.7000000000000001E-2</v>
      </c>
      <c r="R15" s="74">
        <v>0</v>
      </c>
      <c r="S15" s="73">
        <v>5.24</v>
      </c>
      <c r="T15" s="73">
        <v>0.87</v>
      </c>
      <c r="U15" s="58"/>
      <c r="V15" s="59"/>
      <c r="W15" s="59"/>
      <c r="X15" s="59"/>
    </row>
    <row r="16" spans="1:24" s="2" customFormat="1" ht="11.25" customHeight="1">
      <c r="A16" s="101" t="s">
        <v>76</v>
      </c>
      <c r="B16" s="102"/>
      <c r="C16" s="102"/>
      <c r="D16" s="103">
        <f t="shared" ref="D16:T16" si="0">SUM(D11:D15)</f>
        <v>520</v>
      </c>
      <c r="E16" s="104">
        <f t="shared" si="0"/>
        <v>78.3</v>
      </c>
      <c r="F16" s="104">
        <f t="shared" si="0"/>
        <v>24.262999999999998</v>
      </c>
      <c r="G16" s="104">
        <f t="shared" si="0"/>
        <v>25.659999999999997</v>
      </c>
      <c r="H16" s="104">
        <f t="shared" si="0"/>
        <v>69.335999999999999</v>
      </c>
      <c r="I16" s="104">
        <f t="shared" si="0"/>
        <v>604.93000000000006</v>
      </c>
      <c r="J16" s="104">
        <f t="shared" si="0"/>
        <v>0.79200000000000004</v>
      </c>
      <c r="K16" s="104">
        <f t="shared" si="0"/>
        <v>0.76566666666666672</v>
      </c>
      <c r="L16" s="104">
        <f t="shared" si="0"/>
        <v>13.27</v>
      </c>
      <c r="M16" s="104">
        <f t="shared" si="0"/>
        <v>29.95</v>
      </c>
      <c r="N16" s="104">
        <f t="shared" si="0"/>
        <v>1.18</v>
      </c>
      <c r="O16" s="104">
        <f t="shared" si="0"/>
        <v>61.551000000000002</v>
      </c>
      <c r="P16" s="104">
        <f t="shared" si="0"/>
        <v>315.89</v>
      </c>
      <c r="Q16" s="104">
        <f t="shared" si="0"/>
        <v>2.6333333333333334E-2</v>
      </c>
      <c r="R16" s="104">
        <f t="shared" si="0"/>
        <v>1.1666666666666668E-3</v>
      </c>
      <c r="S16" s="104">
        <f t="shared" si="0"/>
        <v>76.266000000000005</v>
      </c>
      <c r="T16" s="104">
        <f t="shared" si="0"/>
        <v>4.1710000000000003</v>
      </c>
      <c r="U16" s="23"/>
      <c r="V16" s="24"/>
      <c r="W16" s="24"/>
      <c r="X16" s="24"/>
    </row>
    <row r="17" spans="1:24" s="2" customFormat="1" ht="11.25" customHeight="1">
      <c r="A17" s="185" t="s">
        <v>54</v>
      </c>
      <c r="B17" s="186"/>
      <c r="C17" s="186"/>
      <c r="D17" s="187"/>
      <c r="E17" s="105">
        <f>78.3-E16</f>
        <v>0</v>
      </c>
      <c r="F17" s="106">
        <f t="shared" ref="F17:T17" si="1">F16/F33</f>
        <v>0.26958888888888888</v>
      </c>
      <c r="G17" s="107">
        <f t="shared" si="1"/>
        <v>0.27891304347826085</v>
      </c>
      <c r="H17" s="107">
        <f t="shared" si="1"/>
        <v>0.18103394255874672</v>
      </c>
      <c r="I17" s="107">
        <f t="shared" si="1"/>
        <v>0.22240073529411766</v>
      </c>
      <c r="J17" s="107">
        <f t="shared" si="1"/>
        <v>0.56571428571428573</v>
      </c>
      <c r="K17" s="107">
        <f t="shared" si="1"/>
        <v>0.4785416666666667</v>
      </c>
      <c r="L17" s="107">
        <f t="shared" si="1"/>
        <v>0.18957142857142856</v>
      </c>
      <c r="M17" s="107">
        <f t="shared" si="1"/>
        <v>33.277777777777779</v>
      </c>
      <c r="N17" s="107">
        <f t="shared" si="1"/>
        <v>9.8333333333333328E-2</v>
      </c>
      <c r="O17" s="108">
        <f t="shared" si="1"/>
        <v>5.1292500000000005E-2</v>
      </c>
      <c r="P17" s="107">
        <f t="shared" si="1"/>
        <v>0.26324166666666665</v>
      </c>
      <c r="Q17" s="107">
        <f t="shared" si="1"/>
        <v>1.8809523809523809E-3</v>
      </c>
      <c r="R17" s="107">
        <f t="shared" si="1"/>
        <v>1.1666666666666667E-2</v>
      </c>
      <c r="S17" s="107">
        <f t="shared" si="1"/>
        <v>0.25422</v>
      </c>
      <c r="T17" s="108">
        <f t="shared" si="1"/>
        <v>0.23172222222222225</v>
      </c>
      <c r="U17" s="28"/>
      <c r="V17" s="24"/>
      <c r="W17" s="24"/>
      <c r="X17" s="24"/>
    </row>
    <row r="18" spans="1:24" s="2" customFormat="1" ht="11.25" customHeight="1">
      <c r="A18" s="192" t="s">
        <v>24</v>
      </c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4"/>
      <c r="U18" s="6"/>
      <c r="V18" s="19"/>
      <c r="W18" s="19"/>
      <c r="X18" s="19"/>
    </row>
    <row r="19" spans="1:24" s="57" customFormat="1" ht="20.25" customHeight="1">
      <c r="A19" s="96">
        <v>49</v>
      </c>
      <c r="B19" s="190" t="s">
        <v>107</v>
      </c>
      <c r="C19" s="191"/>
      <c r="D19" s="97">
        <v>100</v>
      </c>
      <c r="E19" s="98">
        <v>14.27</v>
      </c>
      <c r="F19" s="98">
        <v>1.5669999999999999</v>
      </c>
      <c r="G19" s="98">
        <v>12.03</v>
      </c>
      <c r="H19" s="98">
        <v>8.7799999999999994</v>
      </c>
      <c r="I19" s="98">
        <v>149.69999999999999</v>
      </c>
      <c r="J19" s="99">
        <v>0.05</v>
      </c>
      <c r="K19" s="98">
        <v>0.05</v>
      </c>
      <c r="L19" s="98">
        <v>20.667000000000002</v>
      </c>
      <c r="M19" s="99">
        <v>2E-3</v>
      </c>
      <c r="N19" s="97">
        <v>2.5</v>
      </c>
      <c r="O19" s="98">
        <v>32.83</v>
      </c>
      <c r="P19" s="98">
        <v>33.85</v>
      </c>
      <c r="Q19" s="99">
        <v>0.5</v>
      </c>
      <c r="R19" s="99">
        <v>2E-3</v>
      </c>
      <c r="S19" s="98">
        <v>16.63</v>
      </c>
      <c r="T19" s="98">
        <v>0.56000000000000005</v>
      </c>
      <c r="U19" s="55"/>
      <c r="V19" s="56"/>
      <c r="W19" s="56"/>
      <c r="X19" s="56"/>
    </row>
    <row r="20" spans="1:24" s="57" customFormat="1" ht="15" customHeight="1">
      <c r="A20" s="71">
        <v>102</v>
      </c>
      <c r="B20" s="190" t="s">
        <v>66</v>
      </c>
      <c r="C20" s="191"/>
      <c r="D20" s="75">
        <v>250</v>
      </c>
      <c r="E20" s="73">
        <v>11.46</v>
      </c>
      <c r="F20" s="73">
        <v>6.22</v>
      </c>
      <c r="G20" s="73">
        <v>3.99</v>
      </c>
      <c r="H20" s="73">
        <v>21.73</v>
      </c>
      <c r="I20" s="73">
        <v>147.71</v>
      </c>
      <c r="J20" s="73">
        <v>0.27</v>
      </c>
      <c r="K20" s="73">
        <v>0.09</v>
      </c>
      <c r="L20" s="73">
        <v>9</v>
      </c>
      <c r="M20" s="74">
        <v>1E-3</v>
      </c>
      <c r="N20" s="73">
        <v>0.25700000000000001</v>
      </c>
      <c r="O20" s="73">
        <v>54.13</v>
      </c>
      <c r="P20" s="73">
        <v>183.2</v>
      </c>
      <c r="Q20" s="73">
        <v>1.157</v>
      </c>
      <c r="R20" s="74">
        <v>1.2999999999999999E-2</v>
      </c>
      <c r="S20" s="73">
        <v>49.63</v>
      </c>
      <c r="T20" s="73">
        <v>1.03</v>
      </c>
      <c r="U20" s="58"/>
      <c r="V20" s="59"/>
      <c r="W20" s="59"/>
      <c r="X20" s="59"/>
    </row>
    <row r="21" spans="1:24" s="57" customFormat="1" ht="24.75" customHeight="1">
      <c r="A21" s="96">
        <v>261</v>
      </c>
      <c r="B21" s="190" t="s">
        <v>89</v>
      </c>
      <c r="C21" s="191"/>
      <c r="D21" s="97">
        <v>130</v>
      </c>
      <c r="E21" s="98">
        <v>49.8</v>
      </c>
      <c r="F21" s="98">
        <v>33.090000000000003</v>
      </c>
      <c r="G21" s="98">
        <v>27.34</v>
      </c>
      <c r="H21" s="98">
        <v>8.82</v>
      </c>
      <c r="I21" s="98">
        <v>414.37</v>
      </c>
      <c r="J21" s="99">
        <v>0.09</v>
      </c>
      <c r="K21" s="98">
        <v>0</v>
      </c>
      <c r="L21" s="98">
        <v>4.4999999999999998E-2</v>
      </c>
      <c r="M21" s="99">
        <v>80.62</v>
      </c>
      <c r="N21" s="99">
        <v>0</v>
      </c>
      <c r="O21" s="98">
        <v>102.19</v>
      </c>
      <c r="P21" s="98">
        <v>249.19</v>
      </c>
      <c r="Q21" s="99">
        <v>0</v>
      </c>
      <c r="R21" s="99">
        <v>0</v>
      </c>
      <c r="S21" s="98">
        <v>38.07</v>
      </c>
      <c r="T21" s="98">
        <v>3.04</v>
      </c>
      <c r="U21" s="55"/>
      <c r="V21" s="56"/>
      <c r="W21" s="56"/>
      <c r="X21" s="56"/>
    </row>
    <row r="22" spans="1:24" s="57" customFormat="1" ht="12.75" customHeight="1">
      <c r="A22" s="100">
        <v>171</v>
      </c>
      <c r="B22" s="190" t="s">
        <v>22</v>
      </c>
      <c r="C22" s="191"/>
      <c r="D22" s="72">
        <v>180</v>
      </c>
      <c r="E22" s="73">
        <v>15.01</v>
      </c>
      <c r="F22" s="73">
        <f>6.57*D22/150</f>
        <v>7.8840000000000012</v>
      </c>
      <c r="G22" s="73">
        <f>4.19*D22/150</f>
        <v>5.0280000000000005</v>
      </c>
      <c r="H22" s="73">
        <f>32.32*D22/150</f>
        <v>38.783999999999999</v>
      </c>
      <c r="I22" s="73">
        <f>F22*4+G22*9+H22*4</f>
        <v>231.92400000000001</v>
      </c>
      <c r="J22" s="74">
        <f>0.06*D22/150</f>
        <v>7.1999999999999995E-2</v>
      </c>
      <c r="K22" s="74">
        <f>0.03*D22/150</f>
        <v>3.5999999999999997E-2</v>
      </c>
      <c r="L22" s="75">
        <v>0</v>
      </c>
      <c r="M22" s="74">
        <f>0.03*D22/150</f>
        <v>3.5999999999999997E-2</v>
      </c>
      <c r="N22" s="75">
        <f>2.55*D22/150</f>
        <v>3.0599999999999996</v>
      </c>
      <c r="O22" s="73">
        <f>18.12*D22/150</f>
        <v>21.744000000000003</v>
      </c>
      <c r="P22" s="73">
        <f>157.03*D22/150</f>
        <v>188.43600000000001</v>
      </c>
      <c r="Q22" s="74">
        <v>1.0680000000000001</v>
      </c>
      <c r="R22" s="74">
        <f>0.00135*D22/150</f>
        <v>1.6200000000000001E-3</v>
      </c>
      <c r="S22" s="73">
        <f>104.45*D22/150</f>
        <v>125.34</v>
      </c>
      <c r="T22" s="73">
        <f>3.55*D22/150</f>
        <v>4.26</v>
      </c>
      <c r="U22" s="58"/>
      <c r="V22" s="59"/>
      <c r="W22" s="59"/>
      <c r="X22" s="59"/>
    </row>
    <row r="23" spans="1:24" s="57" customFormat="1">
      <c r="A23" s="76">
        <v>345</v>
      </c>
      <c r="B23" s="223" t="s">
        <v>44</v>
      </c>
      <c r="C23" s="223"/>
      <c r="D23" s="109">
        <v>200</v>
      </c>
      <c r="E23" s="110">
        <v>4.9000000000000004</v>
      </c>
      <c r="F23" s="110">
        <v>0.06</v>
      </c>
      <c r="G23" s="110">
        <v>0.02</v>
      </c>
      <c r="H23" s="110">
        <v>20.73</v>
      </c>
      <c r="I23" s="110">
        <v>83.34</v>
      </c>
      <c r="J23" s="110">
        <v>0</v>
      </c>
      <c r="K23" s="110">
        <v>0</v>
      </c>
      <c r="L23" s="110">
        <v>2.5</v>
      </c>
      <c r="M23" s="110">
        <v>4.0000000000000001E-3</v>
      </c>
      <c r="N23" s="110">
        <v>0.2</v>
      </c>
      <c r="O23" s="110">
        <v>4</v>
      </c>
      <c r="P23" s="110">
        <v>3.3</v>
      </c>
      <c r="Q23" s="110">
        <v>0.08</v>
      </c>
      <c r="R23" s="110">
        <v>1E-3</v>
      </c>
      <c r="S23" s="110">
        <v>1.7</v>
      </c>
      <c r="T23" s="110">
        <v>0.15</v>
      </c>
      <c r="U23" s="58"/>
      <c r="V23" s="59"/>
      <c r="W23" s="59"/>
      <c r="X23" s="59"/>
    </row>
    <row r="24" spans="1:24" s="57" customFormat="1" ht="11.25" customHeight="1">
      <c r="A24" s="111" t="s">
        <v>57</v>
      </c>
      <c r="B24" s="190" t="s">
        <v>42</v>
      </c>
      <c r="C24" s="191"/>
      <c r="D24" s="72">
        <v>40</v>
      </c>
      <c r="E24" s="73">
        <v>2.56</v>
      </c>
      <c r="F24" s="73">
        <f>2.64*D24/40</f>
        <v>2.64</v>
      </c>
      <c r="G24" s="73">
        <f>0.48*D24/40</f>
        <v>0.48</v>
      </c>
      <c r="H24" s="73">
        <f>13.68*D24/40</f>
        <v>13.680000000000001</v>
      </c>
      <c r="I24" s="112">
        <f>F24*4+G24*9+H24*4</f>
        <v>69.600000000000009</v>
      </c>
      <c r="J24" s="75">
        <f>0.08*D24/40</f>
        <v>0.08</v>
      </c>
      <c r="K24" s="73">
        <f>0.04*D24/40</f>
        <v>0.04</v>
      </c>
      <c r="L24" s="72">
        <v>0</v>
      </c>
      <c r="M24" s="72">
        <v>0</v>
      </c>
      <c r="N24" s="73">
        <f>2.4*D24/40</f>
        <v>2.4</v>
      </c>
      <c r="O24" s="73">
        <f>14*D24/40</f>
        <v>14</v>
      </c>
      <c r="P24" s="73">
        <f>63.2*D24/40</f>
        <v>63.2</v>
      </c>
      <c r="Q24" s="73">
        <f>1.2*D24/40</f>
        <v>1.2</v>
      </c>
      <c r="R24" s="74">
        <f>0.001*D24/40</f>
        <v>1E-3</v>
      </c>
      <c r="S24" s="73">
        <f>9.4*D24/40</f>
        <v>9.4</v>
      </c>
      <c r="T24" s="75">
        <f>0.78*D24/40</f>
        <v>0.78</v>
      </c>
      <c r="U24" s="60"/>
      <c r="V24" s="61"/>
      <c r="W24" s="61"/>
      <c r="X24" s="61"/>
    </row>
    <row r="25" spans="1:24" s="2" customFormat="1" ht="11.25" customHeight="1">
      <c r="A25" s="101" t="s">
        <v>25</v>
      </c>
      <c r="B25" s="102"/>
      <c r="C25" s="102"/>
      <c r="D25" s="103">
        <f t="shared" ref="D25:I25" si="2">SUM(D19:D24)</f>
        <v>900</v>
      </c>
      <c r="E25" s="104">
        <f t="shared" si="2"/>
        <v>98.000000000000014</v>
      </c>
      <c r="F25" s="113">
        <f t="shared" si="2"/>
        <v>51.461000000000006</v>
      </c>
      <c r="G25" s="114">
        <f t="shared" si="2"/>
        <v>48.887999999999998</v>
      </c>
      <c r="H25" s="115">
        <f t="shared" si="2"/>
        <v>112.52400000000002</v>
      </c>
      <c r="I25" s="114">
        <f t="shared" si="2"/>
        <v>1096.6439999999998</v>
      </c>
      <c r="J25" s="114">
        <f t="shared" ref="J25:T25" si="3">SUM(J19:J24)</f>
        <v>0.56200000000000006</v>
      </c>
      <c r="K25" s="114">
        <f t="shared" si="3"/>
        <v>0.21600000000000003</v>
      </c>
      <c r="L25" s="114">
        <f t="shared" si="3"/>
        <v>32.212000000000003</v>
      </c>
      <c r="M25" s="113">
        <f t="shared" si="3"/>
        <v>80.663000000000011</v>
      </c>
      <c r="N25" s="113">
        <f t="shared" si="3"/>
        <v>8.4169999999999998</v>
      </c>
      <c r="O25" s="115">
        <f t="shared" si="3"/>
        <v>228.89400000000001</v>
      </c>
      <c r="P25" s="114">
        <f t="shared" si="3"/>
        <v>721.17600000000004</v>
      </c>
      <c r="Q25" s="116">
        <f t="shared" si="3"/>
        <v>4.0049999999999999</v>
      </c>
      <c r="R25" s="116">
        <f t="shared" si="3"/>
        <v>1.8620000000000001E-2</v>
      </c>
      <c r="S25" s="114">
        <f t="shared" si="3"/>
        <v>240.77</v>
      </c>
      <c r="T25" s="113">
        <f t="shared" si="3"/>
        <v>9.82</v>
      </c>
      <c r="U25" s="23"/>
      <c r="V25" s="24"/>
      <c r="W25" s="24"/>
      <c r="X25" s="24"/>
    </row>
    <row r="26" spans="1:24" s="2" customFormat="1" ht="11.25" customHeight="1">
      <c r="A26" s="185" t="s">
        <v>54</v>
      </c>
      <c r="B26" s="186"/>
      <c r="C26" s="186"/>
      <c r="D26" s="187"/>
      <c r="E26" s="105">
        <f>98-E25</f>
        <v>0</v>
      </c>
      <c r="F26" s="106">
        <f t="shared" ref="F26:T26" si="4">F25/F33</f>
        <v>0.5717888888888889</v>
      </c>
      <c r="G26" s="107">
        <f t="shared" si="4"/>
        <v>0.53139130434782611</v>
      </c>
      <c r="H26" s="107">
        <f t="shared" si="4"/>
        <v>0.29379634464751964</v>
      </c>
      <c r="I26" s="107">
        <f t="shared" si="4"/>
        <v>0.40317794117647049</v>
      </c>
      <c r="J26" s="107">
        <f t="shared" si="4"/>
        <v>0.40142857142857147</v>
      </c>
      <c r="K26" s="107">
        <f t="shared" si="4"/>
        <v>0.13500000000000001</v>
      </c>
      <c r="L26" s="107">
        <f t="shared" si="4"/>
        <v>0.46017142857142862</v>
      </c>
      <c r="M26" s="107">
        <f t="shared" si="4"/>
        <v>89.625555555555565</v>
      </c>
      <c r="N26" s="107">
        <f t="shared" si="4"/>
        <v>0.70141666666666669</v>
      </c>
      <c r="O26" s="108">
        <f t="shared" si="4"/>
        <v>0.190745</v>
      </c>
      <c r="P26" s="107">
        <f t="shared" si="4"/>
        <v>0.60098000000000007</v>
      </c>
      <c r="Q26" s="107">
        <f t="shared" si="4"/>
        <v>0.28607142857142859</v>
      </c>
      <c r="R26" s="107">
        <f t="shared" si="4"/>
        <v>0.1862</v>
      </c>
      <c r="S26" s="107">
        <f t="shared" si="4"/>
        <v>0.80256666666666665</v>
      </c>
      <c r="T26" s="108">
        <f t="shared" si="4"/>
        <v>0.54555555555555557</v>
      </c>
      <c r="U26" s="28"/>
      <c r="V26" s="24"/>
      <c r="W26" s="24"/>
      <c r="X26" s="24"/>
    </row>
    <row r="27" spans="1:24" s="2" customFormat="1" ht="15.75" customHeight="1">
      <c r="A27" s="192" t="s">
        <v>26</v>
      </c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4"/>
      <c r="U27" s="6"/>
      <c r="V27" s="19"/>
      <c r="W27" s="19"/>
      <c r="X27" s="19"/>
    </row>
    <row r="28" spans="1:24" s="46" customFormat="1" ht="15.75" customHeight="1">
      <c r="A28" s="117"/>
      <c r="B28" s="201"/>
      <c r="C28" s="201"/>
      <c r="D28" s="118"/>
      <c r="E28" s="119"/>
      <c r="F28" s="119"/>
      <c r="G28" s="119"/>
      <c r="H28" s="119"/>
      <c r="I28" s="119"/>
      <c r="J28" s="120"/>
      <c r="K28" s="119"/>
      <c r="L28" s="119"/>
      <c r="M28" s="120"/>
      <c r="N28" s="121"/>
      <c r="O28" s="122"/>
      <c r="P28" s="119"/>
      <c r="Q28" s="119"/>
      <c r="R28" s="120"/>
      <c r="S28" s="119"/>
      <c r="T28" s="119"/>
    </row>
    <row r="29" spans="1:24" s="42" customFormat="1" ht="15.75" customHeight="1">
      <c r="A29" s="123"/>
      <c r="B29" s="223"/>
      <c r="C29" s="223"/>
      <c r="D29" s="109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</row>
    <row r="30" spans="1:24" s="1" customFormat="1" ht="15.75" customHeight="1">
      <c r="A30" s="101" t="s">
        <v>27</v>
      </c>
      <c r="B30" s="102"/>
      <c r="C30" s="102"/>
      <c r="D30" s="103">
        <f t="shared" ref="D30:T30" si="5">SUM(D28:D29)</f>
        <v>0</v>
      </c>
      <c r="E30" s="104"/>
      <c r="F30" s="104">
        <f t="shared" si="5"/>
        <v>0</v>
      </c>
      <c r="G30" s="104">
        <f t="shared" si="5"/>
        <v>0</v>
      </c>
      <c r="H30" s="104">
        <f t="shared" si="5"/>
        <v>0</v>
      </c>
      <c r="I30" s="104">
        <f t="shared" si="5"/>
        <v>0</v>
      </c>
      <c r="J30" s="104">
        <f t="shared" si="5"/>
        <v>0</v>
      </c>
      <c r="K30" s="104">
        <f t="shared" si="5"/>
        <v>0</v>
      </c>
      <c r="L30" s="104">
        <f t="shared" si="5"/>
        <v>0</v>
      </c>
      <c r="M30" s="104">
        <f t="shared" si="5"/>
        <v>0</v>
      </c>
      <c r="N30" s="104">
        <f t="shared" si="5"/>
        <v>0</v>
      </c>
      <c r="O30" s="104">
        <f t="shared" si="5"/>
        <v>0</v>
      </c>
      <c r="P30" s="104">
        <f t="shared" si="5"/>
        <v>0</v>
      </c>
      <c r="Q30" s="104">
        <f t="shared" si="5"/>
        <v>0</v>
      </c>
      <c r="R30" s="104">
        <f t="shared" si="5"/>
        <v>0</v>
      </c>
      <c r="S30" s="104">
        <f t="shared" si="5"/>
        <v>0</v>
      </c>
      <c r="T30" s="104">
        <f t="shared" si="5"/>
        <v>0</v>
      </c>
      <c r="U30" s="23"/>
      <c r="V30" s="24"/>
      <c r="W30" s="24"/>
      <c r="X30" s="24"/>
    </row>
    <row r="31" spans="1:24" s="1" customFormat="1" ht="11.25" customHeight="1">
      <c r="A31" s="185" t="s">
        <v>54</v>
      </c>
      <c r="B31" s="186"/>
      <c r="C31" s="186"/>
      <c r="D31" s="187"/>
      <c r="E31" s="124"/>
      <c r="F31" s="107">
        <f>F30/F33</f>
        <v>0</v>
      </c>
      <c r="G31" s="107">
        <f t="shared" ref="G31:T31" si="6">G30/G33</f>
        <v>0</v>
      </c>
      <c r="H31" s="107">
        <f t="shared" si="6"/>
        <v>0</v>
      </c>
      <c r="I31" s="107">
        <f t="shared" si="6"/>
        <v>0</v>
      </c>
      <c r="J31" s="107">
        <f t="shared" si="6"/>
        <v>0</v>
      </c>
      <c r="K31" s="107">
        <f t="shared" si="6"/>
        <v>0</v>
      </c>
      <c r="L31" s="107">
        <f t="shared" si="6"/>
        <v>0</v>
      </c>
      <c r="M31" s="107">
        <f t="shared" si="6"/>
        <v>0</v>
      </c>
      <c r="N31" s="107">
        <f t="shared" si="6"/>
        <v>0</v>
      </c>
      <c r="O31" s="107">
        <f t="shared" si="6"/>
        <v>0</v>
      </c>
      <c r="P31" s="107">
        <f t="shared" si="6"/>
        <v>0</v>
      </c>
      <c r="Q31" s="107">
        <f t="shared" si="6"/>
        <v>0</v>
      </c>
      <c r="R31" s="107">
        <f t="shared" si="6"/>
        <v>0</v>
      </c>
      <c r="S31" s="107">
        <f t="shared" si="6"/>
        <v>0</v>
      </c>
      <c r="T31" s="108">
        <f t="shared" si="6"/>
        <v>0</v>
      </c>
      <c r="U31" s="28"/>
      <c r="V31" s="24"/>
      <c r="W31" s="24"/>
      <c r="X31" s="24"/>
    </row>
    <row r="32" spans="1:24" s="1" customFormat="1" ht="11.25" customHeight="1">
      <c r="A32" s="101" t="s">
        <v>53</v>
      </c>
      <c r="B32" s="102"/>
      <c r="C32" s="102"/>
      <c r="D32" s="125">
        <f>D25+D16</f>
        <v>1420</v>
      </c>
      <c r="E32" s="126">
        <f>E25+E16</f>
        <v>176.3</v>
      </c>
      <c r="F32" s="113">
        <f t="shared" ref="F32:T32" si="7">SUM(F16,F25,F30)</f>
        <v>75.724000000000004</v>
      </c>
      <c r="G32" s="113">
        <f t="shared" si="7"/>
        <v>74.548000000000002</v>
      </c>
      <c r="H32" s="113">
        <f t="shared" si="7"/>
        <v>181.86</v>
      </c>
      <c r="I32" s="113">
        <f t="shared" si="7"/>
        <v>1701.5739999999998</v>
      </c>
      <c r="J32" s="113">
        <f t="shared" si="7"/>
        <v>1.3540000000000001</v>
      </c>
      <c r="K32" s="113">
        <f t="shared" si="7"/>
        <v>0.98166666666666669</v>
      </c>
      <c r="L32" s="113">
        <f t="shared" si="7"/>
        <v>45.481999999999999</v>
      </c>
      <c r="M32" s="113">
        <f t="shared" si="7"/>
        <v>110.61300000000001</v>
      </c>
      <c r="N32" s="113">
        <f t="shared" si="7"/>
        <v>9.5969999999999995</v>
      </c>
      <c r="O32" s="113">
        <f t="shared" si="7"/>
        <v>290.44499999999999</v>
      </c>
      <c r="P32" s="113">
        <f t="shared" si="7"/>
        <v>1037.066</v>
      </c>
      <c r="Q32" s="113">
        <f t="shared" si="7"/>
        <v>4.0313333333333334</v>
      </c>
      <c r="R32" s="113">
        <f t="shared" si="7"/>
        <v>1.9786666666666668E-2</v>
      </c>
      <c r="S32" s="113">
        <f t="shared" si="7"/>
        <v>317.036</v>
      </c>
      <c r="T32" s="113">
        <f t="shared" si="7"/>
        <v>13.991</v>
      </c>
      <c r="U32" s="25"/>
      <c r="V32" s="24"/>
      <c r="W32" s="24"/>
      <c r="X32" s="24"/>
    </row>
    <row r="33" spans="1:25" s="1" customFormat="1" ht="11.25" customHeight="1">
      <c r="A33" s="220" t="s">
        <v>55</v>
      </c>
      <c r="B33" s="221"/>
      <c r="C33" s="221"/>
      <c r="D33" s="222"/>
      <c r="E33" s="127"/>
      <c r="F33" s="73">
        <v>90</v>
      </c>
      <c r="G33" s="112">
        <v>92</v>
      </c>
      <c r="H33" s="112">
        <v>383</v>
      </c>
      <c r="I33" s="112">
        <v>2720</v>
      </c>
      <c r="J33" s="73">
        <v>1.4</v>
      </c>
      <c r="K33" s="73">
        <v>1.6</v>
      </c>
      <c r="L33" s="72">
        <v>70</v>
      </c>
      <c r="M33" s="73">
        <v>0.9</v>
      </c>
      <c r="N33" s="72">
        <v>12</v>
      </c>
      <c r="O33" s="72">
        <v>1200</v>
      </c>
      <c r="P33" s="72">
        <v>1200</v>
      </c>
      <c r="Q33" s="72">
        <v>14</v>
      </c>
      <c r="R33" s="112">
        <v>0.1</v>
      </c>
      <c r="S33" s="72">
        <v>300</v>
      </c>
      <c r="T33" s="73">
        <v>18</v>
      </c>
      <c r="U33" s="34"/>
      <c r="V33" s="35"/>
      <c r="W33" s="35"/>
      <c r="X33" s="35"/>
    </row>
    <row r="34" spans="1:25" s="1" customFormat="1" ht="11.25" customHeight="1">
      <c r="A34" s="185" t="s">
        <v>54</v>
      </c>
      <c r="B34" s="186"/>
      <c r="C34" s="186"/>
      <c r="D34" s="187"/>
      <c r="E34" s="124"/>
      <c r="F34" s="107">
        <f t="shared" ref="F34:T34" si="8">F32/F33</f>
        <v>0.84137777777777778</v>
      </c>
      <c r="G34" s="108">
        <f t="shared" si="8"/>
        <v>0.81030434782608696</v>
      </c>
      <c r="H34" s="108">
        <f t="shared" si="8"/>
        <v>0.47483028720626635</v>
      </c>
      <c r="I34" s="108">
        <f t="shared" si="8"/>
        <v>0.62557867647058818</v>
      </c>
      <c r="J34" s="108">
        <f t="shared" si="8"/>
        <v>0.9671428571428573</v>
      </c>
      <c r="K34" s="108">
        <f t="shared" si="8"/>
        <v>0.61354166666666665</v>
      </c>
      <c r="L34" s="108">
        <f t="shared" si="8"/>
        <v>0.64974285714285718</v>
      </c>
      <c r="M34" s="128">
        <f t="shared" si="8"/>
        <v>122.90333333333335</v>
      </c>
      <c r="N34" s="128">
        <f t="shared" si="8"/>
        <v>0.79974999999999996</v>
      </c>
      <c r="O34" s="108">
        <f t="shared" si="8"/>
        <v>0.24203749999999999</v>
      </c>
      <c r="P34" s="108">
        <f t="shared" si="8"/>
        <v>0.86422166666666667</v>
      </c>
      <c r="Q34" s="108">
        <f t="shared" si="8"/>
        <v>0.28795238095238096</v>
      </c>
      <c r="R34" s="128">
        <f t="shared" si="8"/>
        <v>0.19786666666666666</v>
      </c>
      <c r="S34" s="108">
        <f t="shared" si="8"/>
        <v>1.0567866666666668</v>
      </c>
      <c r="T34" s="128">
        <f t="shared" si="8"/>
        <v>0.77727777777777773</v>
      </c>
      <c r="U34" s="30"/>
      <c r="V34" s="31"/>
      <c r="W34" s="31"/>
      <c r="X34" s="31"/>
    </row>
    <row r="35" spans="1:25" s="1" customFormat="1" ht="11.25" customHeight="1">
      <c r="A35" s="88"/>
      <c r="B35" s="88"/>
      <c r="C35" s="129"/>
      <c r="D35" s="129"/>
      <c r="E35" s="129"/>
      <c r="F35" s="83"/>
      <c r="G35" s="84"/>
      <c r="H35" s="82"/>
      <c r="I35" s="82"/>
      <c r="J35" s="84"/>
      <c r="K35" s="84"/>
      <c r="L35" s="84"/>
      <c r="M35" s="229" t="s">
        <v>56</v>
      </c>
      <c r="N35" s="229"/>
      <c r="O35" s="229"/>
      <c r="P35" s="229"/>
      <c r="Q35" s="229"/>
      <c r="R35" s="229"/>
      <c r="S35" s="229"/>
      <c r="T35" s="229"/>
      <c r="U35" s="7"/>
      <c r="V35" s="14"/>
      <c r="W35" s="14"/>
      <c r="X35" s="14"/>
    </row>
    <row r="36" spans="1:25" s="1" customFormat="1" ht="11.25" customHeight="1">
      <c r="A36" s="208" t="s">
        <v>28</v>
      </c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8"/>
      <c r="V36" s="20"/>
      <c r="W36" s="20"/>
      <c r="X36" s="20"/>
      <c r="Y36" s="32"/>
    </row>
    <row r="37" spans="1:25" s="1" customFormat="1" ht="11.25" customHeight="1">
      <c r="A37" s="87" t="s">
        <v>47</v>
      </c>
      <c r="B37" s="88"/>
      <c r="C37" s="88"/>
      <c r="D37" s="82"/>
      <c r="E37" s="82"/>
      <c r="F37" s="85"/>
      <c r="G37" s="189" t="s">
        <v>29</v>
      </c>
      <c r="H37" s="189"/>
      <c r="I37" s="189"/>
      <c r="J37" s="84"/>
      <c r="K37" s="84"/>
      <c r="L37" s="207" t="s">
        <v>1</v>
      </c>
      <c r="M37" s="207"/>
      <c r="N37" s="188" t="str">
        <f>N5</f>
        <v>осенне-зимний</v>
      </c>
      <c r="O37" s="188"/>
      <c r="P37" s="188"/>
      <c r="Q37" s="188"/>
      <c r="R37" s="84"/>
      <c r="S37" s="84"/>
      <c r="T37" s="84"/>
      <c r="U37" s="9"/>
      <c r="V37" s="15"/>
      <c r="W37" s="15"/>
      <c r="X37" s="15"/>
    </row>
    <row r="38" spans="1:25" s="1" customFormat="1" ht="11.25" customHeight="1">
      <c r="A38" s="88"/>
      <c r="B38" s="88"/>
      <c r="C38" s="88"/>
      <c r="D38" s="207" t="s">
        <v>2</v>
      </c>
      <c r="E38" s="207"/>
      <c r="F38" s="207"/>
      <c r="G38" s="89">
        <v>1</v>
      </c>
      <c r="H38" s="84"/>
      <c r="I38" s="82"/>
      <c r="J38" s="82"/>
      <c r="K38" s="82"/>
      <c r="L38" s="207" t="s">
        <v>3</v>
      </c>
      <c r="M38" s="207"/>
      <c r="N38" s="189" t="str">
        <f>N6</f>
        <v>с 7-11 лет</v>
      </c>
      <c r="O38" s="189"/>
      <c r="P38" s="189"/>
      <c r="Q38" s="189"/>
      <c r="R38" s="189"/>
      <c r="S38" s="189"/>
      <c r="T38" s="189"/>
      <c r="U38" s="10"/>
      <c r="V38" s="16"/>
      <c r="W38" s="16"/>
      <c r="X38" s="16"/>
    </row>
    <row r="39" spans="1:25" s="1" customFormat="1" ht="21.75" customHeight="1">
      <c r="A39" s="199" t="s">
        <v>4</v>
      </c>
      <c r="B39" s="195" t="s">
        <v>5</v>
      </c>
      <c r="C39" s="196"/>
      <c r="D39" s="199" t="s">
        <v>6</v>
      </c>
      <c r="E39" s="90"/>
      <c r="F39" s="202" t="s">
        <v>7</v>
      </c>
      <c r="G39" s="203"/>
      <c r="H39" s="204"/>
      <c r="I39" s="199" t="s">
        <v>8</v>
      </c>
      <c r="J39" s="202" t="s">
        <v>9</v>
      </c>
      <c r="K39" s="203"/>
      <c r="L39" s="203"/>
      <c r="M39" s="203"/>
      <c r="N39" s="204"/>
      <c r="O39" s="202" t="s">
        <v>10</v>
      </c>
      <c r="P39" s="203"/>
      <c r="Q39" s="203"/>
      <c r="R39" s="203"/>
      <c r="S39" s="203"/>
      <c r="T39" s="204"/>
      <c r="U39" s="4"/>
      <c r="V39" s="17"/>
      <c r="W39" s="17"/>
      <c r="X39" s="17"/>
    </row>
    <row r="40" spans="1:25" s="1" customFormat="1" ht="21" customHeight="1">
      <c r="A40" s="200"/>
      <c r="B40" s="197"/>
      <c r="C40" s="198"/>
      <c r="D40" s="200"/>
      <c r="E40" s="91"/>
      <c r="F40" s="92" t="s">
        <v>11</v>
      </c>
      <c r="G40" s="93" t="s">
        <v>12</v>
      </c>
      <c r="H40" s="93" t="s">
        <v>13</v>
      </c>
      <c r="I40" s="200"/>
      <c r="J40" s="93" t="s">
        <v>14</v>
      </c>
      <c r="K40" s="93" t="s">
        <v>49</v>
      </c>
      <c r="L40" s="93" t="s">
        <v>15</v>
      </c>
      <c r="M40" s="93" t="s">
        <v>16</v>
      </c>
      <c r="N40" s="93" t="s">
        <v>17</v>
      </c>
      <c r="O40" s="93" t="s">
        <v>18</v>
      </c>
      <c r="P40" s="93" t="s">
        <v>19</v>
      </c>
      <c r="Q40" s="93" t="s">
        <v>50</v>
      </c>
      <c r="R40" s="93" t="s">
        <v>51</v>
      </c>
      <c r="S40" s="93" t="s">
        <v>20</v>
      </c>
      <c r="T40" s="93" t="s">
        <v>21</v>
      </c>
      <c r="U40" s="4"/>
      <c r="V40" s="17"/>
      <c r="W40" s="17"/>
      <c r="X40" s="17"/>
    </row>
    <row r="41" spans="1:25" s="1" customFormat="1" ht="11.25" customHeight="1">
      <c r="A41" s="71">
        <v>1</v>
      </c>
      <c r="B41" s="212">
        <v>2</v>
      </c>
      <c r="C41" s="213"/>
      <c r="D41" s="94">
        <v>3</v>
      </c>
      <c r="E41" s="94"/>
      <c r="F41" s="95">
        <v>4</v>
      </c>
      <c r="G41" s="94">
        <v>5</v>
      </c>
      <c r="H41" s="94">
        <v>6</v>
      </c>
      <c r="I41" s="94">
        <v>7</v>
      </c>
      <c r="J41" s="94">
        <v>8</v>
      </c>
      <c r="K41" s="94">
        <v>9</v>
      </c>
      <c r="L41" s="94">
        <v>10</v>
      </c>
      <c r="M41" s="94">
        <v>11</v>
      </c>
      <c r="N41" s="94">
        <v>12</v>
      </c>
      <c r="O41" s="94">
        <v>13</v>
      </c>
      <c r="P41" s="94">
        <v>14</v>
      </c>
      <c r="Q41" s="94">
        <v>15</v>
      </c>
      <c r="R41" s="94">
        <v>16</v>
      </c>
      <c r="S41" s="94">
        <v>17</v>
      </c>
      <c r="T41" s="94">
        <v>18</v>
      </c>
      <c r="U41" s="5"/>
      <c r="V41" s="18"/>
      <c r="W41" s="18"/>
      <c r="X41" s="18"/>
    </row>
    <row r="42" spans="1:25" s="1" customFormat="1" ht="11.25" customHeight="1">
      <c r="A42" s="235" t="str">
        <f>A106</f>
        <v xml:space="preserve">Завтрак </v>
      </c>
      <c r="B42" s="236"/>
      <c r="C42" s="236"/>
      <c r="D42" s="236"/>
      <c r="E42" s="236"/>
      <c r="F42" s="236"/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7"/>
      <c r="U42" s="6"/>
      <c r="V42" s="19"/>
      <c r="W42" s="19"/>
      <c r="X42" s="19"/>
    </row>
    <row r="43" spans="1:25" s="57" customFormat="1" ht="21.75" customHeight="1">
      <c r="A43" s="71">
        <v>362</v>
      </c>
      <c r="B43" s="190" t="s">
        <v>97</v>
      </c>
      <c r="C43" s="191"/>
      <c r="D43" s="72">
        <v>160</v>
      </c>
      <c r="E43" s="73">
        <v>60.07</v>
      </c>
      <c r="F43" s="73">
        <v>14.04</v>
      </c>
      <c r="G43" s="73">
        <v>13.53</v>
      </c>
      <c r="H43" s="73">
        <v>29.65</v>
      </c>
      <c r="I43" s="73">
        <v>296.60000000000002</v>
      </c>
      <c r="J43" s="73">
        <v>0.24</v>
      </c>
      <c r="K43" s="73">
        <v>0.38</v>
      </c>
      <c r="L43" s="73">
        <v>0.88</v>
      </c>
      <c r="M43" s="74">
        <v>0.2</v>
      </c>
      <c r="N43" s="75">
        <v>1.28</v>
      </c>
      <c r="O43" s="73">
        <v>203.25</v>
      </c>
      <c r="P43" s="73">
        <v>390.21</v>
      </c>
      <c r="Q43" s="72">
        <v>1.1200000000000001</v>
      </c>
      <c r="R43" s="74">
        <v>1.9E-2</v>
      </c>
      <c r="S43" s="73">
        <v>88.36</v>
      </c>
      <c r="T43" s="73">
        <v>2.38</v>
      </c>
      <c r="U43" s="58"/>
      <c r="V43" s="63"/>
      <c r="W43" s="63"/>
      <c r="X43" s="63"/>
    </row>
    <row r="44" spans="1:25" s="57" customFormat="1" ht="12.75" customHeight="1">
      <c r="A44" s="71">
        <v>377</v>
      </c>
      <c r="B44" s="214" t="s">
        <v>41</v>
      </c>
      <c r="C44" s="215"/>
      <c r="D44" s="72">
        <v>200</v>
      </c>
      <c r="E44" s="73">
        <v>4.53</v>
      </c>
      <c r="F44" s="73">
        <v>0.26</v>
      </c>
      <c r="G44" s="73">
        <v>0.06</v>
      </c>
      <c r="H44" s="73">
        <v>15.22</v>
      </c>
      <c r="I44" s="73">
        <f>F44*4+G44*9+H44*4</f>
        <v>62.46</v>
      </c>
      <c r="J44" s="73">
        <v>0</v>
      </c>
      <c r="K44" s="73">
        <v>0.01</v>
      </c>
      <c r="L44" s="73">
        <v>2.9</v>
      </c>
      <c r="M44" s="75">
        <v>0</v>
      </c>
      <c r="N44" s="73">
        <v>0.06</v>
      </c>
      <c r="O44" s="73">
        <v>8.0500000000000007</v>
      </c>
      <c r="P44" s="73">
        <v>9.7799999999999994</v>
      </c>
      <c r="Q44" s="73">
        <v>1.7000000000000001E-2</v>
      </c>
      <c r="R44" s="74">
        <v>0</v>
      </c>
      <c r="S44" s="73">
        <v>5.24</v>
      </c>
      <c r="T44" s="73">
        <v>0.87</v>
      </c>
      <c r="U44" s="58"/>
      <c r="V44" s="59"/>
      <c r="W44" s="59"/>
      <c r="X44" s="59"/>
    </row>
    <row r="45" spans="1:25" s="54" customFormat="1" ht="14.25" customHeight="1">
      <c r="A45" s="76" t="s">
        <v>57</v>
      </c>
      <c r="B45" s="183" t="s">
        <v>73</v>
      </c>
      <c r="C45" s="183"/>
      <c r="D45" s="77">
        <v>200</v>
      </c>
      <c r="E45" s="78"/>
      <c r="F45" s="79">
        <v>5.6</v>
      </c>
      <c r="G45" s="79">
        <v>6.4</v>
      </c>
      <c r="H45" s="79">
        <v>9.4</v>
      </c>
      <c r="I45" s="79">
        <v>117.6</v>
      </c>
      <c r="J45" s="79">
        <v>0.08</v>
      </c>
      <c r="K45" s="79">
        <v>0.307</v>
      </c>
      <c r="L45" s="79">
        <v>2.6</v>
      </c>
      <c r="M45" s="79">
        <v>6.7000000000000004E-2</v>
      </c>
      <c r="N45" s="79">
        <v>0.29199999999999998</v>
      </c>
      <c r="O45" s="79">
        <v>240</v>
      </c>
      <c r="P45" s="79">
        <v>180</v>
      </c>
      <c r="Q45" s="79">
        <v>0.8</v>
      </c>
      <c r="R45" s="79">
        <v>1.7999999999999999E-2</v>
      </c>
      <c r="S45" s="79">
        <v>28</v>
      </c>
      <c r="T45" s="79">
        <v>0.12</v>
      </c>
      <c r="V45" s="80"/>
      <c r="W45" s="80"/>
      <c r="X45" s="80"/>
    </row>
    <row r="46" spans="1:25" s="62" customFormat="1" ht="14.25" customHeight="1">
      <c r="A46" s="76" t="s">
        <v>57</v>
      </c>
      <c r="B46" s="183" t="s">
        <v>113</v>
      </c>
      <c r="C46" s="183"/>
      <c r="D46" s="77">
        <v>100</v>
      </c>
      <c r="E46" s="81">
        <v>13.7</v>
      </c>
      <c r="F46" s="79">
        <v>5.6</v>
      </c>
      <c r="G46" s="79">
        <v>6.4</v>
      </c>
      <c r="H46" s="79">
        <v>9.4</v>
      </c>
      <c r="I46" s="79">
        <v>117.6</v>
      </c>
      <c r="J46" s="79">
        <v>0.08</v>
      </c>
      <c r="K46" s="79">
        <v>0.307</v>
      </c>
      <c r="L46" s="79">
        <v>2.6</v>
      </c>
      <c r="M46" s="79">
        <v>6.7000000000000004E-2</v>
      </c>
      <c r="N46" s="79">
        <v>0.29199999999999998</v>
      </c>
      <c r="O46" s="79">
        <v>240</v>
      </c>
      <c r="P46" s="79">
        <v>180</v>
      </c>
      <c r="Q46" s="79">
        <v>0.8</v>
      </c>
      <c r="R46" s="79">
        <v>1.7999999999999999E-2</v>
      </c>
      <c r="S46" s="79">
        <v>28</v>
      </c>
      <c r="T46" s="79">
        <v>0.12</v>
      </c>
    </row>
    <row r="47" spans="1:25" s="2" customFormat="1" ht="14.25" customHeight="1">
      <c r="A47" s="130" t="str">
        <f>A111</f>
        <v xml:space="preserve">Итого за Завтрак </v>
      </c>
      <c r="B47" s="131"/>
      <c r="C47" s="131"/>
      <c r="D47" s="103">
        <f t="shared" ref="D47:T47" si="9">SUM(D43:D46)</f>
        <v>660</v>
      </c>
      <c r="E47" s="104">
        <f t="shared" si="9"/>
        <v>78.3</v>
      </c>
      <c r="F47" s="104">
        <f t="shared" si="9"/>
        <v>25.5</v>
      </c>
      <c r="G47" s="104">
        <f t="shared" si="9"/>
        <v>26.39</v>
      </c>
      <c r="H47" s="104">
        <f t="shared" si="9"/>
        <v>63.669999999999995</v>
      </c>
      <c r="I47" s="104">
        <f t="shared" si="9"/>
        <v>594.26</v>
      </c>
      <c r="J47" s="104">
        <f t="shared" si="9"/>
        <v>0.4</v>
      </c>
      <c r="K47" s="104">
        <f t="shared" si="9"/>
        <v>1.004</v>
      </c>
      <c r="L47" s="104">
        <f t="shared" si="9"/>
        <v>8.98</v>
      </c>
      <c r="M47" s="104">
        <f t="shared" si="9"/>
        <v>0.33400000000000002</v>
      </c>
      <c r="N47" s="104">
        <f t="shared" si="9"/>
        <v>1.9240000000000002</v>
      </c>
      <c r="O47" s="104">
        <f t="shared" si="9"/>
        <v>691.3</v>
      </c>
      <c r="P47" s="104">
        <f t="shared" si="9"/>
        <v>759.99</v>
      </c>
      <c r="Q47" s="104">
        <f t="shared" si="9"/>
        <v>2.7370000000000001</v>
      </c>
      <c r="R47" s="104">
        <f t="shared" si="9"/>
        <v>5.4999999999999993E-2</v>
      </c>
      <c r="S47" s="104">
        <f t="shared" si="9"/>
        <v>149.6</v>
      </c>
      <c r="T47" s="104">
        <f t="shared" si="9"/>
        <v>3.49</v>
      </c>
      <c r="U47" s="23"/>
      <c r="V47" s="24"/>
      <c r="W47" s="24"/>
      <c r="X47" s="24"/>
    </row>
    <row r="48" spans="1:25" s="2" customFormat="1" ht="14.25" customHeight="1">
      <c r="A48" s="185" t="s">
        <v>54</v>
      </c>
      <c r="B48" s="186"/>
      <c r="C48" s="186"/>
      <c r="D48" s="187"/>
      <c r="E48" s="132">
        <f>78.3-E47</f>
        <v>0</v>
      </c>
      <c r="F48" s="107">
        <f t="shared" ref="F48:T48" si="10">F47/F65</f>
        <v>0.28333333333333333</v>
      </c>
      <c r="G48" s="107">
        <f t="shared" si="10"/>
        <v>0.28684782608695653</v>
      </c>
      <c r="H48" s="107">
        <f t="shared" si="10"/>
        <v>0.16624020887728458</v>
      </c>
      <c r="I48" s="107">
        <f t="shared" si="10"/>
        <v>0.2184779411764706</v>
      </c>
      <c r="J48" s="107">
        <f t="shared" si="10"/>
        <v>0.28571428571428575</v>
      </c>
      <c r="K48" s="107">
        <f t="shared" si="10"/>
        <v>0.62749999999999995</v>
      </c>
      <c r="L48" s="107">
        <f t="shared" si="10"/>
        <v>0.12828571428571428</v>
      </c>
      <c r="M48" s="107">
        <f t="shared" si="10"/>
        <v>0.37111111111111111</v>
      </c>
      <c r="N48" s="107">
        <f t="shared" si="10"/>
        <v>0.16033333333333336</v>
      </c>
      <c r="O48" s="108">
        <f t="shared" si="10"/>
        <v>0.57608333333333328</v>
      </c>
      <c r="P48" s="107">
        <f t="shared" si="10"/>
        <v>0.63332500000000003</v>
      </c>
      <c r="Q48" s="107">
        <f t="shared" si="10"/>
        <v>0.19550000000000001</v>
      </c>
      <c r="R48" s="107">
        <f t="shared" si="10"/>
        <v>0.54999999999999993</v>
      </c>
      <c r="S48" s="107">
        <f t="shared" si="10"/>
        <v>0.49866666666666665</v>
      </c>
      <c r="T48" s="108">
        <f t="shared" si="10"/>
        <v>0.19388888888888889</v>
      </c>
      <c r="U48" s="28"/>
      <c r="V48" s="24"/>
      <c r="W48" s="24"/>
      <c r="X48" s="24"/>
    </row>
    <row r="49" spans="1:24" s="2" customFormat="1" ht="11.25" customHeight="1">
      <c r="A49" s="192" t="s">
        <v>24</v>
      </c>
      <c r="B49" s="193"/>
      <c r="C49" s="193"/>
      <c r="D49" s="193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4"/>
      <c r="U49" s="6"/>
      <c r="V49" s="19"/>
      <c r="W49" s="19"/>
      <c r="X49" s="19"/>
    </row>
    <row r="50" spans="1:24" s="64" customFormat="1" ht="21.75" customHeight="1">
      <c r="A50" s="100">
        <v>52</v>
      </c>
      <c r="B50" s="190" t="s">
        <v>108</v>
      </c>
      <c r="C50" s="191"/>
      <c r="D50" s="72">
        <v>100</v>
      </c>
      <c r="E50" s="73">
        <v>8.9499999999999993</v>
      </c>
      <c r="F50" s="73">
        <v>1.4333333333333333</v>
      </c>
      <c r="G50" s="73">
        <v>5.083333333333333</v>
      </c>
      <c r="H50" s="73">
        <v>8.5500000000000007</v>
      </c>
      <c r="I50" s="73">
        <v>85.683333333333337</v>
      </c>
      <c r="J50" s="73">
        <v>1.6666666666666666E-2</v>
      </c>
      <c r="K50" s="73">
        <v>3.3333333333333333E-2</v>
      </c>
      <c r="L50" s="112">
        <v>9.5</v>
      </c>
      <c r="M50" s="73">
        <v>1.6666666666666666E-2</v>
      </c>
      <c r="N50" s="73">
        <v>0.16666666666666666</v>
      </c>
      <c r="O50" s="73">
        <v>44.35</v>
      </c>
      <c r="P50" s="73">
        <v>42.733333333333334</v>
      </c>
      <c r="Q50" s="73">
        <v>0.71666666666666667</v>
      </c>
      <c r="R50" s="74">
        <v>1.6666666666666666E-2</v>
      </c>
      <c r="S50" s="112">
        <v>21.45</v>
      </c>
      <c r="T50" s="73">
        <v>1.4</v>
      </c>
      <c r="U50" s="58"/>
      <c r="V50" s="59"/>
      <c r="W50" s="59"/>
      <c r="X50" s="59"/>
    </row>
    <row r="51" spans="1:24" s="57" customFormat="1" ht="22.5" customHeight="1">
      <c r="A51" s="71">
        <v>82</v>
      </c>
      <c r="B51" s="190" t="s">
        <v>68</v>
      </c>
      <c r="C51" s="191"/>
      <c r="D51" s="75">
        <v>250</v>
      </c>
      <c r="E51" s="75">
        <v>12.27</v>
      </c>
      <c r="F51" s="73">
        <v>2.4300000000000002</v>
      </c>
      <c r="G51" s="73">
        <v>3.12</v>
      </c>
      <c r="H51" s="73">
        <v>12.01</v>
      </c>
      <c r="I51" s="73">
        <f>F51*4+G51*9+H51*4</f>
        <v>85.84</v>
      </c>
      <c r="J51" s="75">
        <v>6.4000000000000001E-2</v>
      </c>
      <c r="K51" s="75">
        <v>6.4000000000000001E-2</v>
      </c>
      <c r="L51" s="73">
        <v>20.98</v>
      </c>
      <c r="M51" s="74">
        <v>7.5999999999999998E-2</v>
      </c>
      <c r="N51" s="73">
        <v>0.25700000000000001</v>
      </c>
      <c r="O51" s="73">
        <v>49.59</v>
      </c>
      <c r="P51" s="73">
        <v>58.68</v>
      </c>
      <c r="Q51" s="73">
        <v>0.746</v>
      </c>
      <c r="R51" s="74">
        <v>1.0999999999999999E-2</v>
      </c>
      <c r="S51" s="73">
        <v>25.43</v>
      </c>
      <c r="T51" s="73">
        <v>1.32</v>
      </c>
      <c r="U51" s="58"/>
      <c r="V51" s="59"/>
      <c r="W51" s="59"/>
      <c r="X51" s="59"/>
    </row>
    <row r="52" spans="1:24" s="57" customFormat="1" ht="22.5" customHeight="1">
      <c r="A52" s="100">
        <v>232</v>
      </c>
      <c r="B52" s="190" t="s">
        <v>98</v>
      </c>
      <c r="C52" s="191"/>
      <c r="D52" s="72">
        <v>120</v>
      </c>
      <c r="E52" s="73">
        <v>43.35</v>
      </c>
      <c r="F52" s="73">
        <v>24.24</v>
      </c>
      <c r="G52" s="73">
        <v>14.48</v>
      </c>
      <c r="H52" s="73">
        <v>2.4900000000000002</v>
      </c>
      <c r="I52" s="73">
        <v>237.3</v>
      </c>
      <c r="J52" s="73">
        <v>0.24</v>
      </c>
      <c r="K52" s="73">
        <v>0.20399999999999999</v>
      </c>
      <c r="L52" s="73">
        <v>3.15</v>
      </c>
      <c r="M52" s="74">
        <v>3.6999999999999998E-2</v>
      </c>
      <c r="N52" s="73">
        <v>0.4</v>
      </c>
      <c r="O52" s="73">
        <v>103.33</v>
      </c>
      <c r="P52" s="73">
        <v>50.11</v>
      </c>
      <c r="Q52" s="112">
        <v>1.0669999999999999</v>
      </c>
      <c r="R52" s="112">
        <v>5.2999999999999999E-2</v>
      </c>
      <c r="S52" s="73">
        <v>34.75</v>
      </c>
      <c r="T52" s="73">
        <v>1.095</v>
      </c>
      <c r="U52" s="58"/>
      <c r="V52" s="59"/>
      <c r="W52" s="59"/>
      <c r="X52" s="59"/>
    </row>
    <row r="53" spans="1:24" s="57" customFormat="1" ht="19.5" customHeight="1">
      <c r="A53" s="100">
        <v>312</v>
      </c>
      <c r="B53" s="190" t="s">
        <v>43</v>
      </c>
      <c r="C53" s="191"/>
      <c r="D53" s="72">
        <v>180</v>
      </c>
      <c r="E53" s="73">
        <v>21.62</v>
      </c>
      <c r="F53" s="73">
        <v>3.9480000000000004</v>
      </c>
      <c r="G53" s="73">
        <v>8.4719999999999995</v>
      </c>
      <c r="H53" s="73">
        <v>26.652000000000001</v>
      </c>
      <c r="I53" s="73">
        <v>198.648</v>
      </c>
      <c r="J53" s="73">
        <v>0.192</v>
      </c>
      <c r="K53" s="73">
        <v>0.15600000000000003</v>
      </c>
      <c r="L53" s="73">
        <v>0.876</v>
      </c>
      <c r="M53" s="74">
        <v>9.6000000000000002E-2</v>
      </c>
      <c r="N53" s="75">
        <v>1.8</v>
      </c>
      <c r="O53" s="73">
        <v>51.048000000000002</v>
      </c>
      <c r="P53" s="112">
        <v>117.3</v>
      </c>
      <c r="Q53" s="74">
        <v>0.35880000000000001</v>
      </c>
      <c r="R53" s="74">
        <v>1.1999999999999999E-3</v>
      </c>
      <c r="S53" s="73">
        <v>39.672000000000004</v>
      </c>
      <c r="T53" s="73">
        <v>1.4279999999999999</v>
      </c>
      <c r="U53" s="58"/>
      <c r="V53" s="59"/>
      <c r="W53" s="59"/>
      <c r="X53" s="59"/>
    </row>
    <row r="54" spans="1:24" s="65" customFormat="1" ht="14.25" customHeight="1">
      <c r="A54" s="133">
        <v>699</v>
      </c>
      <c r="B54" s="230" t="s">
        <v>74</v>
      </c>
      <c r="C54" s="231"/>
      <c r="D54" s="134">
        <v>200</v>
      </c>
      <c r="E54" s="135">
        <v>6.4</v>
      </c>
      <c r="F54" s="135">
        <v>0.1</v>
      </c>
      <c r="G54" s="136">
        <v>0</v>
      </c>
      <c r="H54" s="137">
        <v>15.7</v>
      </c>
      <c r="I54" s="135">
        <v>63.2</v>
      </c>
      <c r="J54" s="136">
        <v>1.7999999999999999E-2</v>
      </c>
      <c r="K54" s="136">
        <v>1.2E-2</v>
      </c>
      <c r="L54" s="137">
        <v>8</v>
      </c>
      <c r="M54" s="136">
        <v>0</v>
      </c>
      <c r="N54" s="135">
        <v>0.2</v>
      </c>
      <c r="O54" s="135">
        <v>10.8</v>
      </c>
      <c r="P54" s="135">
        <v>1.7</v>
      </c>
      <c r="Q54" s="135">
        <v>0</v>
      </c>
      <c r="R54" s="138">
        <v>0</v>
      </c>
      <c r="S54" s="135">
        <v>5.8</v>
      </c>
      <c r="T54" s="135">
        <v>1.6</v>
      </c>
    </row>
    <row r="55" spans="1:24" s="57" customFormat="1" ht="11.25" customHeight="1">
      <c r="A55" s="111" t="s">
        <v>57</v>
      </c>
      <c r="B55" s="190" t="s">
        <v>42</v>
      </c>
      <c r="C55" s="191"/>
      <c r="D55" s="72">
        <v>40</v>
      </c>
      <c r="E55" s="73">
        <v>2.56</v>
      </c>
      <c r="F55" s="73">
        <f>2.64*D55/40</f>
        <v>2.64</v>
      </c>
      <c r="G55" s="73">
        <f>0.48*D55/40</f>
        <v>0.48</v>
      </c>
      <c r="H55" s="73">
        <f>13.68*D55/40</f>
        <v>13.680000000000001</v>
      </c>
      <c r="I55" s="112">
        <f>F55*4+G55*9+H55*4</f>
        <v>69.600000000000009</v>
      </c>
      <c r="J55" s="75">
        <f>0.08*D55/40</f>
        <v>0.08</v>
      </c>
      <c r="K55" s="73">
        <f>0.04*D55/40</f>
        <v>0.04</v>
      </c>
      <c r="L55" s="72">
        <v>0</v>
      </c>
      <c r="M55" s="72">
        <v>0</v>
      </c>
      <c r="N55" s="73">
        <f>2.4*D55/40</f>
        <v>2.4</v>
      </c>
      <c r="O55" s="73">
        <f>14*D55/40</f>
        <v>14</v>
      </c>
      <c r="P55" s="73">
        <f>63.2*D55/40</f>
        <v>63.2</v>
      </c>
      <c r="Q55" s="73">
        <f>1.2*D55/40</f>
        <v>1.2</v>
      </c>
      <c r="R55" s="74">
        <f>0.001*D55/40</f>
        <v>1E-3</v>
      </c>
      <c r="S55" s="73">
        <f>9.4*D55/40</f>
        <v>9.4</v>
      </c>
      <c r="T55" s="75">
        <f>0.78*D55/40</f>
        <v>0.78</v>
      </c>
      <c r="U55" s="60"/>
      <c r="V55" s="61"/>
      <c r="W55" s="61"/>
      <c r="X55" s="61"/>
    </row>
    <row r="56" spans="1:24" s="57" customFormat="1" ht="11.25" customHeight="1">
      <c r="A56" s="100" t="s">
        <v>57</v>
      </c>
      <c r="B56" s="190" t="s">
        <v>46</v>
      </c>
      <c r="C56" s="191"/>
      <c r="D56" s="72">
        <v>30</v>
      </c>
      <c r="E56" s="73">
        <v>2.85</v>
      </c>
      <c r="F56" s="73">
        <f>1.52*D56/30</f>
        <v>1.52</v>
      </c>
      <c r="G56" s="74">
        <f>0.16*D56/30</f>
        <v>0.16</v>
      </c>
      <c r="H56" s="74">
        <f>9.84*D56/30</f>
        <v>9.84</v>
      </c>
      <c r="I56" s="74">
        <f>F56*4+G56*9+H56*4</f>
        <v>46.879999999999995</v>
      </c>
      <c r="J56" s="74">
        <f>0.02*D56/30</f>
        <v>0.02</v>
      </c>
      <c r="K56" s="74">
        <f>0.01*D56/30</f>
        <v>0.01</v>
      </c>
      <c r="L56" s="74">
        <f>0.44*D56/30</f>
        <v>0.44</v>
      </c>
      <c r="M56" s="74">
        <v>0</v>
      </c>
      <c r="N56" s="74">
        <f>0.7*D56/30</f>
        <v>0.7</v>
      </c>
      <c r="O56" s="74">
        <f>4*D56/30</f>
        <v>4</v>
      </c>
      <c r="P56" s="74">
        <f>13*D56/30</f>
        <v>13</v>
      </c>
      <c r="Q56" s="74">
        <f>0.008*D56/30</f>
        <v>8.0000000000000002E-3</v>
      </c>
      <c r="R56" s="74">
        <f>0.001*D56/30</f>
        <v>1E-3</v>
      </c>
      <c r="S56" s="74">
        <v>0</v>
      </c>
      <c r="T56" s="74">
        <f>0.22*D56/30</f>
        <v>0.22</v>
      </c>
      <c r="U56" s="58"/>
      <c r="V56" s="59"/>
      <c r="W56" s="59"/>
      <c r="X56" s="59"/>
    </row>
    <row r="57" spans="1:24" s="2" customFormat="1" ht="11.25" customHeight="1">
      <c r="A57" s="101" t="s">
        <v>25</v>
      </c>
      <c r="B57" s="102"/>
      <c r="C57" s="102"/>
      <c r="D57" s="103">
        <f>SUM(D50:D56)</f>
        <v>920</v>
      </c>
      <c r="E57" s="104">
        <f>SUM(E50:E56)</f>
        <v>98</v>
      </c>
      <c r="F57" s="104">
        <f t="shared" ref="F57:T57" si="11">SUM(F50:F56)</f>
        <v>36.311333333333337</v>
      </c>
      <c r="G57" s="104">
        <f t="shared" si="11"/>
        <v>31.795333333333332</v>
      </c>
      <c r="H57" s="104">
        <f t="shared" si="11"/>
        <v>88.922000000000011</v>
      </c>
      <c r="I57" s="104">
        <f t="shared" si="11"/>
        <v>787.15133333333347</v>
      </c>
      <c r="J57" s="104">
        <f t="shared" si="11"/>
        <v>0.6306666666666666</v>
      </c>
      <c r="K57" s="104">
        <f t="shared" si="11"/>
        <v>0.51933333333333342</v>
      </c>
      <c r="L57" s="104">
        <f t="shared" si="11"/>
        <v>42.945999999999998</v>
      </c>
      <c r="M57" s="104">
        <f t="shared" si="11"/>
        <v>0.22566666666666665</v>
      </c>
      <c r="N57" s="104">
        <f t="shared" si="11"/>
        <v>5.9236666666666666</v>
      </c>
      <c r="O57" s="104">
        <f t="shared" si="11"/>
        <v>277.11799999999999</v>
      </c>
      <c r="P57" s="104">
        <f t="shared" si="11"/>
        <v>346.7233333333333</v>
      </c>
      <c r="Q57" s="104">
        <f t="shared" si="11"/>
        <v>4.0964666666666663</v>
      </c>
      <c r="R57" s="104">
        <f t="shared" si="11"/>
        <v>8.3866666666666673E-2</v>
      </c>
      <c r="S57" s="104">
        <f t="shared" si="11"/>
        <v>136.50199999999998</v>
      </c>
      <c r="T57" s="104">
        <f t="shared" si="11"/>
        <v>7.843</v>
      </c>
      <c r="U57" s="23"/>
      <c r="V57" s="24"/>
      <c r="W57" s="24"/>
      <c r="X57" s="24"/>
    </row>
    <row r="58" spans="1:24" s="2" customFormat="1" ht="11.25" customHeight="1">
      <c r="A58" s="185" t="s">
        <v>54</v>
      </c>
      <c r="B58" s="186"/>
      <c r="C58" s="186"/>
      <c r="D58" s="187"/>
      <c r="E58" s="105">
        <f>98-E57</f>
        <v>0</v>
      </c>
      <c r="F58" s="106">
        <f t="shared" ref="F58:T58" si="12">F57/F65</f>
        <v>0.4034592592592593</v>
      </c>
      <c r="G58" s="107">
        <f t="shared" si="12"/>
        <v>0.34560144927536229</v>
      </c>
      <c r="H58" s="107">
        <f t="shared" si="12"/>
        <v>0.23217232375979116</v>
      </c>
      <c r="I58" s="107">
        <f t="shared" si="12"/>
        <v>0.28939387254901966</v>
      </c>
      <c r="J58" s="107">
        <f t="shared" si="12"/>
        <v>0.45047619047619047</v>
      </c>
      <c r="K58" s="107">
        <f t="shared" si="12"/>
        <v>0.32458333333333339</v>
      </c>
      <c r="L58" s="107">
        <f t="shared" si="12"/>
        <v>0.61351428571428568</v>
      </c>
      <c r="M58" s="107">
        <f t="shared" si="12"/>
        <v>0.25074074074074071</v>
      </c>
      <c r="N58" s="107">
        <f t="shared" si="12"/>
        <v>0.4936388888888889</v>
      </c>
      <c r="O58" s="108">
        <f t="shared" si="12"/>
        <v>0.23093166666666667</v>
      </c>
      <c r="P58" s="107">
        <f t="shared" si="12"/>
        <v>0.28893611111111106</v>
      </c>
      <c r="Q58" s="107">
        <f t="shared" si="12"/>
        <v>0.29260476190476187</v>
      </c>
      <c r="R58" s="107">
        <f t="shared" si="12"/>
        <v>0.83866666666666667</v>
      </c>
      <c r="S58" s="107">
        <f t="shared" si="12"/>
        <v>0.45500666666666661</v>
      </c>
      <c r="T58" s="108">
        <f t="shared" si="12"/>
        <v>0.43572222222222223</v>
      </c>
      <c r="U58" s="28"/>
      <c r="V58" s="24"/>
      <c r="W58" s="24"/>
      <c r="X58" s="24"/>
    </row>
    <row r="59" spans="1:24" s="2" customFormat="1" ht="11.25" customHeight="1">
      <c r="A59" s="192" t="s">
        <v>26</v>
      </c>
      <c r="B59" s="193"/>
      <c r="C59" s="193"/>
      <c r="D59" s="193"/>
      <c r="E59" s="193"/>
      <c r="F59" s="193"/>
      <c r="G59" s="193"/>
      <c r="H59" s="193"/>
      <c r="I59" s="193"/>
      <c r="J59" s="193"/>
      <c r="K59" s="193"/>
      <c r="L59" s="193"/>
      <c r="M59" s="193"/>
      <c r="N59" s="193"/>
      <c r="O59" s="193"/>
      <c r="P59" s="193"/>
      <c r="Q59" s="193"/>
      <c r="R59" s="193"/>
      <c r="S59" s="193"/>
      <c r="T59" s="194"/>
      <c r="U59" s="6"/>
      <c r="V59" s="19"/>
      <c r="W59" s="19"/>
      <c r="X59" s="19"/>
    </row>
    <row r="60" spans="1:24" s="42" customFormat="1" ht="11.25" customHeight="1">
      <c r="A60" s="117"/>
      <c r="B60" s="201"/>
      <c r="C60" s="201"/>
      <c r="D60" s="118"/>
      <c r="E60" s="119"/>
      <c r="F60" s="119"/>
      <c r="G60" s="122"/>
      <c r="H60" s="122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</row>
    <row r="61" spans="1:24" s="42" customFormat="1" ht="12.75" customHeight="1">
      <c r="A61" s="123"/>
      <c r="B61" s="223"/>
      <c r="C61" s="223"/>
      <c r="D61" s="109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</row>
    <row r="62" spans="1:24" s="1" customFormat="1" ht="11.25" customHeight="1">
      <c r="A62" s="101" t="s">
        <v>27</v>
      </c>
      <c r="B62" s="102"/>
      <c r="C62" s="102"/>
      <c r="D62" s="103">
        <f t="shared" ref="D62:I62" si="13">SUM(D60:D61)</f>
        <v>0</v>
      </c>
      <c r="E62" s="104">
        <f t="shared" si="13"/>
        <v>0</v>
      </c>
      <c r="F62" s="113">
        <f t="shared" si="13"/>
        <v>0</v>
      </c>
      <c r="G62" s="114">
        <f t="shared" si="13"/>
        <v>0</v>
      </c>
      <c r="H62" s="114">
        <f t="shared" si="13"/>
        <v>0</v>
      </c>
      <c r="I62" s="114">
        <f t="shared" si="13"/>
        <v>0</v>
      </c>
      <c r="J62" s="113">
        <f t="shared" ref="J62:T62" si="14">SUM(J60:J61)</f>
        <v>0</v>
      </c>
      <c r="K62" s="113">
        <f t="shared" si="14"/>
        <v>0</v>
      </c>
      <c r="L62" s="114">
        <f t="shared" si="14"/>
        <v>0</v>
      </c>
      <c r="M62" s="113">
        <f t="shared" si="14"/>
        <v>0</v>
      </c>
      <c r="N62" s="114">
        <f t="shared" si="14"/>
        <v>0</v>
      </c>
      <c r="O62" s="114">
        <f t="shared" si="14"/>
        <v>0</v>
      </c>
      <c r="P62" s="114">
        <f t="shared" si="14"/>
        <v>0</v>
      </c>
      <c r="Q62" s="114">
        <f t="shared" si="14"/>
        <v>0</v>
      </c>
      <c r="R62" s="116">
        <f t="shared" si="14"/>
        <v>0</v>
      </c>
      <c r="S62" s="114">
        <f t="shared" si="14"/>
        <v>0</v>
      </c>
      <c r="T62" s="113">
        <f t="shared" si="14"/>
        <v>0</v>
      </c>
      <c r="U62" s="23"/>
      <c r="V62" s="24"/>
      <c r="W62" s="24"/>
      <c r="X62" s="24"/>
    </row>
    <row r="63" spans="1:24" s="1" customFormat="1" ht="11.25" customHeight="1">
      <c r="A63" s="185" t="s">
        <v>54</v>
      </c>
      <c r="B63" s="186"/>
      <c r="C63" s="186"/>
      <c r="D63" s="187"/>
      <c r="E63" s="124"/>
      <c r="F63" s="107">
        <f>F62/F65</f>
        <v>0</v>
      </c>
      <c r="G63" s="107">
        <f t="shared" ref="G63:T63" si="15">G62/G65</f>
        <v>0</v>
      </c>
      <c r="H63" s="107">
        <f t="shared" si="15"/>
        <v>0</v>
      </c>
      <c r="I63" s="107">
        <f t="shared" si="15"/>
        <v>0</v>
      </c>
      <c r="J63" s="107">
        <f t="shared" si="15"/>
        <v>0</v>
      </c>
      <c r="K63" s="107">
        <f t="shared" si="15"/>
        <v>0</v>
      </c>
      <c r="L63" s="107">
        <f t="shared" si="15"/>
        <v>0</v>
      </c>
      <c r="M63" s="107">
        <f t="shared" si="15"/>
        <v>0</v>
      </c>
      <c r="N63" s="107">
        <f t="shared" si="15"/>
        <v>0</v>
      </c>
      <c r="O63" s="107">
        <f t="shared" si="15"/>
        <v>0</v>
      </c>
      <c r="P63" s="107">
        <f t="shared" si="15"/>
        <v>0</v>
      </c>
      <c r="Q63" s="107">
        <f t="shared" si="15"/>
        <v>0</v>
      </c>
      <c r="R63" s="107">
        <f t="shared" si="15"/>
        <v>0</v>
      </c>
      <c r="S63" s="107">
        <f t="shared" si="15"/>
        <v>0</v>
      </c>
      <c r="T63" s="108">
        <f t="shared" si="15"/>
        <v>0</v>
      </c>
      <c r="U63" s="28"/>
      <c r="V63" s="24"/>
      <c r="W63" s="24"/>
      <c r="X63" s="24"/>
    </row>
    <row r="64" spans="1:24" s="1" customFormat="1" ht="11.25" customHeight="1">
      <c r="A64" s="101" t="s">
        <v>53</v>
      </c>
      <c r="B64" s="102"/>
      <c r="C64" s="102"/>
      <c r="D64" s="125">
        <f>D57+D47</f>
        <v>1580</v>
      </c>
      <c r="E64" s="126">
        <f>E57+E47</f>
        <v>176.3</v>
      </c>
      <c r="F64" s="113">
        <f t="shared" ref="F64:T64" si="16">SUM(F47,F57,F62)</f>
        <v>61.811333333333337</v>
      </c>
      <c r="G64" s="114">
        <f t="shared" si="16"/>
        <v>58.185333333333332</v>
      </c>
      <c r="H64" s="114">
        <f t="shared" si="16"/>
        <v>152.59200000000001</v>
      </c>
      <c r="I64" s="114">
        <f t="shared" si="16"/>
        <v>1381.4113333333335</v>
      </c>
      <c r="J64" s="113">
        <f t="shared" si="16"/>
        <v>1.0306666666666666</v>
      </c>
      <c r="K64" s="113">
        <f t="shared" si="16"/>
        <v>1.5233333333333334</v>
      </c>
      <c r="L64" s="115">
        <f t="shared" si="16"/>
        <v>51.926000000000002</v>
      </c>
      <c r="M64" s="113">
        <f t="shared" si="16"/>
        <v>0.55966666666666665</v>
      </c>
      <c r="N64" s="115">
        <f t="shared" si="16"/>
        <v>7.847666666666667</v>
      </c>
      <c r="O64" s="114">
        <f t="shared" si="16"/>
        <v>968.41799999999989</v>
      </c>
      <c r="P64" s="114">
        <f t="shared" si="16"/>
        <v>1106.7133333333334</v>
      </c>
      <c r="Q64" s="114">
        <f t="shared" si="16"/>
        <v>6.8334666666666664</v>
      </c>
      <c r="R64" s="116">
        <f t="shared" si="16"/>
        <v>0.13886666666666667</v>
      </c>
      <c r="S64" s="113">
        <f t="shared" si="16"/>
        <v>286.10199999999998</v>
      </c>
      <c r="T64" s="113">
        <f t="shared" si="16"/>
        <v>11.333</v>
      </c>
      <c r="U64" s="25"/>
      <c r="V64" s="24"/>
      <c r="W64" s="24"/>
      <c r="X64" s="24"/>
    </row>
    <row r="65" spans="1:24" s="1" customFormat="1" ht="11.25" customHeight="1">
      <c r="A65" s="220" t="s">
        <v>55</v>
      </c>
      <c r="B65" s="221"/>
      <c r="C65" s="221"/>
      <c r="D65" s="222"/>
      <c r="E65" s="127"/>
      <c r="F65" s="73">
        <v>90</v>
      </c>
      <c r="G65" s="112">
        <v>92</v>
      </c>
      <c r="H65" s="112">
        <v>383</v>
      </c>
      <c r="I65" s="112">
        <v>2720</v>
      </c>
      <c r="J65" s="73">
        <v>1.4</v>
      </c>
      <c r="K65" s="73">
        <v>1.6</v>
      </c>
      <c r="L65" s="72">
        <v>70</v>
      </c>
      <c r="M65" s="73">
        <v>0.9</v>
      </c>
      <c r="N65" s="72">
        <v>12</v>
      </c>
      <c r="O65" s="72">
        <v>1200</v>
      </c>
      <c r="P65" s="72">
        <v>1200</v>
      </c>
      <c r="Q65" s="72">
        <v>14</v>
      </c>
      <c r="R65" s="112">
        <v>0.1</v>
      </c>
      <c r="S65" s="72">
        <v>300</v>
      </c>
      <c r="T65" s="73">
        <v>18</v>
      </c>
      <c r="U65" s="34"/>
      <c r="V65" s="35"/>
      <c r="W65" s="35"/>
      <c r="X65" s="35"/>
    </row>
    <row r="66" spans="1:24" s="3" customFormat="1" ht="11.25" customHeight="1">
      <c r="A66" s="185" t="s">
        <v>54</v>
      </c>
      <c r="B66" s="186"/>
      <c r="C66" s="186"/>
      <c r="D66" s="187"/>
      <c r="E66" s="124"/>
      <c r="F66" s="107">
        <f t="shared" ref="F66:T66" si="17">F64/F65</f>
        <v>0.68679259259259262</v>
      </c>
      <c r="G66" s="108">
        <f t="shared" si="17"/>
        <v>0.63244927536231887</v>
      </c>
      <c r="H66" s="108">
        <f t="shared" si="17"/>
        <v>0.39841253263707577</v>
      </c>
      <c r="I66" s="108">
        <f t="shared" si="17"/>
        <v>0.50787181372549028</v>
      </c>
      <c r="J66" s="108">
        <f t="shared" si="17"/>
        <v>0.73619047619047617</v>
      </c>
      <c r="K66" s="108">
        <f t="shared" si="17"/>
        <v>0.95208333333333339</v>
      </c>
      <c r="L66" s="108">
        <f t="shared" si="17"/>
        <v>0.74180000000000001</v>
      </c>
      <c r="M66" s="128">
        <f t="shared" si="17"/>
        <v>0.62185185185185177</v>
      </c>
      <c r="N66" s="108">
        <f t="shared" si="17"/>
        <v>0.65397222222222229</v>
      </c>
      <c r="O66" s="108">
        <f t="shared" si="17"/>
        <v>0.80701499999999993</v>
      </c>
      <c r="P66" s="108">
        <f t="shared" si="17"/>
        <v>0.92226111111111109</v>
      </c>
      <c r="Q66" s="108">
        <f t="shared" si="17"/>
        <v>0.48810476190476187</v>
      </c>
      <c r="R66" s="128">
        <f t="shared" si="17"/>
        <v>1.3886666666666665</v>
      </c>
      <c r="S66" s="108">
        <f t="shared" si="17"/>
        <v>0.95367333333333326</v>
      </c>
      <c r="T66" s="128">
        <f t="shared" si="17"/>
        <v>0.62961111111111112</v>
      </c>
      <c r="U66" s="30"/>
      <c r="V66" s="31"/>
      <c r="W66" s="31"/>
      <c r="X66" s="31"/>
    </row>
    <row r="67" spans="1:24" s="1" customFormat="1" ht="11.25" customHeight="1">
      <c r="A67" s="88"/>
      <c r="B67" s="88"/>
      <c r="C67" s="129"/>
      <c r="D67" s="129"/>
      <c r="E67" s="129"/>
      <c r="F67" s="83"/>
      <c r="G67" s="84"/>
      <c r="H67" s="82"/>
      <c r="I67" s="82"/>
      <c r="J67" s="84"/>
      <c r="K67" s="84"/>
      <c r="L67" s="84"/>
      <c r="M67" s="229" t="s">
        <v>56</v>
      </c>
      <c r="N67" s="229"/>
      <c r="O67" s="229"/>
      <c r="P67" s="229"/>
      <c r="Q67" s="229"/>
      <c r="R67" s="229"/>
      <c r="S67" s="229"/>
      <c r="T67" s="229"/>
      <c r="U67" s="7"/>
      <c r="V67" s="14"/>
      <c r="W67" s="14"/>
      <c r="X67" s="14"/>
    </row>
    <row r="68" spans="1:24" s="1" customFormat="1" ht="11.25" customHeight="1">
      <c r="A68" s="88"/>
      <c r="B68" s="88"/>
      <c r="C68" s="129"/>
      <c r="D68" s="129"/>
      <c r="E68" s="129"/>
      <c r="F68" s="83"/>
      <c r="G68" s="84"/>
      <c r="H68" s="82"/>
      <c r="I68" s="82"/>
      <c r="J68" s="84"/>
      <c r="K68" s="84"/>
      <c r="L68" s="84"/>
      <c r="M68" s="86"/>
      <c r="N68" s="86"/>
      <c r="O68" s="86"/>
      <c r="P68" s="86"/>
      <c r="Q68" s="86"/>
      <c r="R68" s="86"/>
      <c r="S68" s="86"/>
      <c r="T68" s="86"/>
      <c r="U68" s="7"/>
      <c r="V68" s="14"/>
      <c r="W68" s="14"/>
      <c r="X68" s="14"/>
    </row>
    <row r="69" spans="1:24" s="1" customFormat="1" ht="11.25" customHeight="1">
      <c r="A69" s="208" t="s">
        <v>30</v>
      </c>
      <c r="B69" s="208"/>
      <c r="C69" s="208"/>
      <c r="D69" s="208"/>
      <c r="E69" s="208"/>
      <c r="F69" s="208"/>
      <c r="G69" s="208"/>
      <c r="H69" s="208"/>
      <c r="I69" s="208"/>
      <c r="J69" s="208"/>
      <c r="K69" s="208"/>
      <c r="L69" s="208"/>
      <c r="M69" s="208"/>
      <c r="N69" s="208"/>
      <c r="O69" s="208"/>
      <c r="P69" s="208"/>
      <c r="Q69" s="208"/>
      <c r="R69" s="208"/>
      <c r="S69" s="208"/>
      <c r="T69" s="208"/>
      <c r="U69" s="8"/>
      <c r="V69" s="20"/>
      <c r="W69" s="20"/>
      <c r="X69" s="20"/>
    </row>
    <row r="70" spans="1:24" s="1" customFormat="1" ht="11.25" customHeight="1">
      <c r="A70" s="87" t="s">
        <v>48</v>
      </c>
      <c r="B70" s="88"/>
      <c r="C70" s="88"/>
      <c r="D70" s="82"/>
      <c r="E70" s="82"/>
      <c r="F70" s="85"/>
      <c r="G70" s="189" t="s">
        <v>31</v>
      </c>
      <c r="H70" s="189"/>
      <c r="I70" s="189"/>
      <c r="J70" s="84"/>
      <c r="K70" s="84"/>
      <c r="L70" s="207" t="s">
        <v>1</v>
      </c>
      <c r="M70" s="207"/>
      <c r="N70" s="188" t="str">
        <f>N37</f>
        <v>осенне-зимний</v>
      </c>
      <c r="O70" s="188"/>
      <c r="P70" s="188"/>
      <c r="Q70" s="188"/>
      <c r="R70" s="84"/>
      <c r="S70" s="84"/>
      <c r="T70" s="84"/>
      <c r="U70" s="9"/>
      <c r="V70" s="15"/>
      <c r="W70" s="15"/>
      <c r="X70" s="15"/>
    </row>
    <row r="71" spans="1:24" s="1" customFormat="1" ht="11.25" customHeight="1">
      <c r="A71" s="88"/>
      <c r="B71" s="88"/>
      <c r="C71" s="88"/>
      <c r="D71" s="206" t="s">
        <v>2</v>
      </c>
      <c r="E71" s="206"/>
      <c r="F71" s="206"/>
      <c r="G71" s="89">
        <v>1</v>
      </c>
      <c r="H71" s="84"/>
      <c r="I71" s="82"/>
      <c r="J71" s="82"/>
      <c r="K71" s="82"/>
      <c r="L71" s="206" t="s">
        <v>3</v>
      </c>
      <c r="M71" s="206"/>
      <c r="N71" s="189" t="str">
        <f>N38</f>
        <v>с 7-11 лет</v>
      </c>
      <c r="O71" s="189"/>
      <c r="P71" s="189"/>
      <c r="Q71" s="189"/>
      <c r="R71" s="189"/>
      <c r="S71" s="189"/>
      <c r="T71" s="189"/>
      <c r="U71" s="10"/>
      <c r="V71" s="16"/>
      <c r="W71" s="16"/>
      <c r="X71" s="16"/>
    </row>
    <row r="72" spans="1:24" s="1" customFormat="1" ht="21.75" customHeight="1">
      <c r="A72" s="199" t="s">
        <v>4</v>
      </c>
      <c r="B72" s="199" t="s">
        <v>5</v>
      </c>
      <c r="C72" s="199"/>
      <c r="D72" s="199" t="s">
        <v>6</v>
      </c>
      <c r="E72" s="139"/>
      <c r="F72" s="205" t="s">
        <v>7</v>
      </c>
      <c r="G72" s="205"/>
      <c r="H72" s="205"/>
      <c r="I72" s="199" t="s">
        <v>8</v>
      </c>
      <c r="J72" s="205" t="s">
        <v>9</v>
      </c>
      <c r="K72" s="205"/>
      <c r="L72" s="205"/>
      <c r="M72" s="205"/>
      <c r="N72" s="205"/>
      <c r="O72" s="205" t="s">
        <v>10</v>
      </c>
      <c r="P72" s="205"/>
      <c r="Q72" s="205"/>
      <c r="R72" s="205"/>
      <c r="S72" s="205"/>
      <c r="T72" s="205"/>
      <c r="U72" s="4"/>
      <c r="V72" s="17"/>
      <c r="W72" s="17"/>
      <c r="X72" s="17"/>
    </row>
    <row r="73" spans="1:24" s="1" customFormat="1" ht="21" customHeight="1">
      <c r="A73" s="200"/>
      <c r="B73" s="197"/>
      <c r="C73" s="198"/>
      <c r="D73" s="200"/>
      <c r="E73" s="91"/>
      <c r="F73" s="92" t="s">
        <v>11</v>
      </c>
      <c r="G73" s="93" t="s">
        <v>12</v>
      </c>
      <c r="H73" s="93" t="s">
        <v>13</v>
      </c>
      <c r="I73" s="200"/>
      <c r="J73" s="93" t="s">
        <v>14</v>
      </c>
      <c r="K73" s="93" t="s">
        <v>49</v>
      </c>
      <c r="L73" s="93" t="s">
        <v>15</v>
      </c>
      <c r="M73" s="93" t="s">
        <v>16</v>
      </c>
      <c r="N73" s="93" t="s">
        <v>17</v>
      </c>
      <c r="O73" s="93" t="s">
        <v>18</v>
      </c>
      <c r="P73" s="93" t="s">
        <v>19</v>
      </c>
      <c r="Q73" s="93" t="s">
        <v>50</v>
      </c>
      <c r="R73" s="93" t="s">
        <v>51</v>
      </c>
      <c r="S73" s="93" t="s">
        <v>20</v>
      </c>
      <c r="T73" s="93" t="s">
        <v>21</v>
      </c>
      <c r="U73" s="4"/>
      <c r="V73" s="17"/>
      <c r="W73" s="17"/>
      <c r="X73" s="17"/>
    </row>
    <row r="74" spans="1:24" s="1" customFormat="1" ht="11.25" customHeight="1">
      <c r="A74" s="71">
        <v>1</v>
      </c>
      <c r="B74" s="234">
        <v>2</v>
      </c>
      <c r="C74" s="234"/>
      <c r="D74" s="94">
        <v>3</v>
      </c>
      <c r="E74" s="94"/>
      <c r="F74" s="95">
        <v>4</v>
      </c>
      <c r="G74" s="94">
        <v>5</v>
      </c>
      <c r="H74" s="94">
        <v>6</v>
      </c>
      <c r="I74" s="94">
        <v>7</v>
      </c>
      <c r="J74" s="94">
        <v>8</v>
      </c>
      <c r="K74" s="94">
        <v>9</v>
      </c>
      <c r="L74" s="94">
        <v>10</v>
      </c>
      <c r="M74" s="94">
        <v>11</v>
      </c>
      <c r="N74" s="94">
        <v>12</v>
      </c>
      <c r="O74" s="94">
        <v>13</v>
      </c>
      <c r="P74" s="94">
        <v>14</v>
      </c>
      <c r="Q74" s="94">
        <v>15</v>
      </c>
      <c r="R74" s="94">
        <v>16</v>
      </c>
      <c r="S74" s="94">
        <v>17</v>
      </c>
      <c r="T74" s="94">
        <v>18</v>
      </c>
      <c r="U74" s="5"/>
      <c r="V74" s="18"/>
      <c r="W74" s="18"/>
      <c r="X74" s="18"/>
    </row>
    <row r="75" spans="1:24" s="1" customFormat="1" ht="11.25" customHeight="1">
      <c r="A75" s="192" t="s">
        <v>75</v>
      </c>
      <c r="B75" s="193"/>
      <c r="C75" s="193"/>
      <c r="D75" s="193"/>
      <c r="E75" s="193"/>
      <c r="F75" s="193"/>
      <c r="G75" s="193"/>
      <c r="H75" s="193"/>
      <c r="I75" s="193"/>
      <c r="J75" s="193"/>
      <c r="K75" s="193"/>
      <c r="L75" s="193"/>
      <c r="M75" s="193"/>
      <c r="N75" s="193"/>
      <c r="O75" s="193"/>
      <c r="P75" s="193"/>
      <c r="Q75" s="193"/>
      <c r="R75" s="193"/>
      <c r="S75" s="193"/>
      <c r="T75" s="194"/>
      <c r="U75" s="6"/>
      <c r="V75" s="19"/>
      <c r="W75" s="19"/>
      <c r="X75" s="19"/>
    </row>
    <row r="76" spans="1:24" s="57" customFormat="1" ht="25.5" customHeight="1">
      <c r="A76" s="71" t="s">
        <v>57</v>
      </c>
      <c r="B76" s="190" t="s">
        <v>84</v>
      </c>
      <c r="C76" s="191"/>
      <c r="D76" s="72">
        <v>165</v>
      </c>
      <c r="E76" s="73">
        <v>47.65</v>
      </c>
      <c r="F76" s="73">
        <v>3.6</v>
      </c>
      <c r="G76" s="73">
        <v>6</v>
      </c>
      <c r="H76" s="73">
        <v>54</v>
      </c>
      <c r="I76" s="73">
        <v>288</v>
      </c>
      <c r="J76" s="74">
        <v>7.0000000000000007E-2</v>
      </c>
      <c r="K76" s="74">
        <v>0.16</v>
      </c>
      <c r="L76" s="73">
        <v>0.19</v>
      </c>
      <c r="M76" s="73">
        <v>0.02</v>
      </c>
      <c r="N76" s="75">
        <v>1.1639999999999999</v>
      </c>
      <c r="O76" s="73">
        <v>0.19</v>
      </c>
      <c r="P76" s="73">
        <v>149.1</v>
      </c>
      <c r="Q76" s="73">
        <v>0.81</v>
      </c>
      <c r="R76" s="73">
        <v>0.02</v>
      </c>
      <c r="S76" s="73">
        <v>12.93</v>
      </c>
      <c r="T76" s="73">
        <v>0.91</v>
      </c>
      <c r="U76" s="58"/>
      <c r="V76" s="59"/>
      <c r="W76" s="59"/>
      <c r="X76" s="59"/>
    </row>
    <row r="77" spans="1:24" s="57" customFormat="1" ht="12.75" customHeight="1">
      <c r="A77" s="71">
        <v>377</v>
      </c>
      <c r="B77" s="224" t="s">
        <v>41</v>
      </c>
      <c r="C77" s="225"/>
      <c r="D77" s="72">
        <v>200</v>
      </c>
      <c r="E77" s="73">
        <v>4.53</v>
      </c>
      <c r="F77" s="73">
        <v>0.26</v>
      </c>
      <c r="G77" s="73">
        <v>0.06</v>
      </c>
      <c r="H77" s="73">
        <v>15.22</v>
      </c>
      <c r="I77" s="73">
        <f>F77*4+G77*9+H77*4</f>
        <v>62.46</v>
      </c>
      <c r="J77" s="73">
        <v>0</v>
      </c>
      <c r="K77" s="73">
        <v>0.01</v>
      </c>
      <c r="L77" s="73">
        <v>2.9</v>
      </c>
      <c r="M77" s="73">
        <v>0</v>
      </c>
      <c r="N77" s="73">
        <v>0.06</v>
      </c>
      <c r="O77" s="73">
        <v>8.0500000000000007</v>
      </c>
      <c r="P77" s="73">
        <v>9.7799999999999994</v>
      </c>
      <c r="Q77" s="73">
        <v>1.7000000000000001E-2</v>
      </c>
      <c r="R77" s="74">
        <v>0</v>
      </c>
      <c r="S77" s="73">
        <v>5.24</v>
      </c>
      <c r="T77" s="73">
        <v>0.87</v>
      </c>
      <c r="U77" s="58"/>
      <c r="V77" s="182"/>
      <c r="W77" s="182"/>
      <c r="X77" s="182"/>
    </row>
    <row r="78" spans="1:24" s="49" customFormat="1" ht="11.25" customHeight="1">
      <c r="A78" s="140">
        <v>338</v>
      </c>
      <c r="B78" s="184" t="s">
        <v>71</v>
      </c>
      <c r="C78" s="184"/>
      <c r="D78" s="72">
        <v>190</v>
      </c>
      <c r="E78" s="73">
        <v>26.12</v>
      </c>
      <c r="F78" s="73">
        <v>1.5</v>
      </c>
      <c r="G78" s="73">
        <v>0.5</v>
      </c>
      <c r="H78" s="73">
        <v>2.1</v>
      </c>
      <c r="I78" s="73">
        <v>125.6</v>
      </c>
      <c r="J78" s="73">
        <v>0.04</v>
      </c>
      <c r="K78" s="73">
        <v>0.02</v>
      </c>
      <c r="L78" s="72">
        <v>10</v>
      </c>
      <c r="M78" s="73">
        <v>0.02</v>
      </c>
      <c r="N78" s="73">
        <v>0.2</v>
      </c>
      <c r="O78" s="73">
        <v>16</v>
      </c>
      <c r="P78" s="73">
        <v>11</v>
      </c>
      <c r="Q78" s="72">
        <v>0.03</v>
      </c>
      <c r="R78" s="72">
        <v>2E-3</v>
      </c>
      <c r="S78" s="73">
        <v>9</v>
      </c>
      <c r="T78" s="73">
        <v>2.2000000000000002</v>
      </c>
      <c r="U78" s="47"/>
      <c r="V78" s="182"/>
      <c r="W78" s="182"/>
      <c r="X78" s="182"/>
    </row>
    <row r="79" spans="1:24" s="2" customFormat="1" ht="12" customHeight="1">
      <c r="A79" s="101" t="s">
        <v>76</v>
      </c>
      <c r="B79" s="102"/>
      <c r="C79" s="102"/>
      <c r="D79" s="141">
        <f t="shared" ref="D79:T79" si="18">SUM(D76:D78)</f>
        <v>555</v>
      </c>
      <c r="E79" s="104">
        <f t="shared" si="18"/>
        <v>78.3</v>
      </c>
      <c r="F79" s="113">
        <f t="shared" si="18"/>
        <v>5.36</v>
      </c>
      <c r="G79" s="114">
        <f t="shared" si="18"/>
        <v>6.56</v>
      </c>
      <c r="H79" s="114">
        <f t="shared" si="18"/>
        <v>71.319999999999993</v>
      </c>
      <c r="I79" s="114">
        <f t="shared" si="18"/>
        <v>476.05999999999995</v>
      </c>
      <c r="J79" s="113">
        <f t="shared" si="18"/>
        <v>0.11000000000000001</v>
      </c>
      <c r="K79" s="113">
        <f t="shared" si="18"/>
        <v>0.19</v>
      </c>
      <c r="L79" s="113">
        <f t="shared" si="18"/>
        <v>13.09</v>
      </c>
      <c r="M79" s="113">
        <f t="shared" si="18"/>
        <v>0.04</v>
      </c>
      <c r="N79" s="113">
        <f t="shared" si="18"/>
        <v>1.4239999999999999</v>
      </c>
      <c r="O79" s="113">
        <f t="shared" si="18"/>
        <v>24.240000000000002</v>
      </c>
      <c r="P79" s="113">
        <f t="shared" si="18"/>
        <v>169.88</v>
      </c>
      <c r="Q79" s="116">
        <f t="shared" si="18"/>
        <v>0.8570000000000001</v>
      </c>
      <c r="R79" s="116">
        <f t="shared" si="18"/>
        <v>2.1999999999999999E-2</v>
      </c>
      <c r="S79" s="114">
        <f t="shared" si="18"/>
        <v>27.17</v>
      </c>
      <c r="T79" s="113">
        <f t="shared" si="18"/>
        <v>3.9800000000000004</v>
      </c>
      <c r="U79" s="23"/>
      <c r="V79" s="44"/>
      <c r="W79" s="44"/>
      <c r="X79" s="44"/>
    </row>
    <row r="80" spans="1:24" s="2" customFormat="1" ht="12" customHeight="1">
      <c r="A80" s="220" t="s">
        <v>54</v>
      </c>
      <c r="B80" s="221"/>
      <c r="C80" s="221"/>
      <c r="D80" s="222"/>
      <c r="E80" s="142">
        <f>78.3-E79</f>
        <v>0</v>
      </c>
      <c r="F80" s="143">
        <f t="shared" ref="F80:T80" si="19">F79/F98</f>
        <v>5.9555555555555556E-2</v>
      </c>
      <c r="G80" s="144">
        <f t="shared" si="19"/>
        <v>7.1304347826086953E-2</v>
      </c>
      <c r="H80" s="144">
        <f t="shared" si="19"/>
        <v>0.18621409921671017</v>
      </c>
      <c r="I80" s="144">
        <f t="shared" si="19"/>
        <v>0.17502205882352939</v>
      </c>
      <c r="J80" s="144">
        <f t="shared" si="19"/>
        <v>7.8571428571428584E-2</v>
      </c>
      <c r="K80" s="144">
        <f t="shared" si="19"/>
        <v>0.11874999999999999</v>
      </c>
      <c r="L80" s="144">
        <f t="shared" si="19"/>
        <v>0.187</v>
      </c>
      <c r="M80" s="144">
        <f t="shared" si="19"/>
        <v>4.4444444444444446E-2</v>
      </c>
      <c r="N80" s="144">
        <f t="shared" si="19"/>
        <v>0.11866666666666666</v>
      </c>
      <c r="O80" s="144">
        <f t="shared" si="19"/>
        <v>2.0200000000000003E-2</v>
      </c>
      <c r="P80" s="144">
        <f t="shared" si="19"/>
        <v>0.14156666666666667</v>
      </c>
      <c r="Q80" s="144">
        <f t="shared" si="19"/>
        <v>6.1214285714285721E-2</v>
      </c>
      <c r="R80" s="144">
        <f t="shared" si="19"/>
        <v>0.21999999999999997</v>
      </c>
      <c r="S80" s="144">
        <f t="shared" si="19"/>
        <v>9.056666666666667E-2</v>
      </c>
      <c r="T80" s="144">
        <f t="shared" si="19"/>
        <v>0.22111111111111115</v>
      </c>
      <c r="U80" s="28"/>
      <c r="V80" s="44"/>
      <c r="W80" s="44"/>
      <c r="X80" s="44"/>
    </row>
    <row r="81" spans="1:24" s="2" customFormat="1" ht="12" customHeight="1">
      <c r="A81" s="145" t="s">
        <v>62</v>
      </c>
      <c r="B81" s="146"/>
      <c r="C81" s="146"/>
      <c r="D81" s="147"/>
      <c r="E81" s="147"/>
      <c r="F81" s="148"/>
      <c r="G81" s="149"/>
      <c r="H81" s="149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 s="149"/>
      <c r="T81" s="149"/>
      <c r="U81" s="28"/>
      <c r="V81" s="44"/>
      <c r="W81" s="44"/>
      <c r="X81" s="44"/>
    </row>
    <row r="82" spans="1:24" s="2" customFormat="1" ht="10.5" customHeight="1">
      <c r="A82" s="192" t="s">
        <v>24</v>
      </c>
      <c r="B82" s="193"/>
      <c r="C82" s="193"/>
      <c r="D82" s="193"/>
      <c r="E82" s="193"/>
      <c r="F82" s="193"/>
      <c r="G82" s="193"/>
      <c r="H82" s="193"/>
      <c r="I82" s="193"/>
      <c r="J82" s="193"/>
      <c r="K82" s="193"/>
      <c r="L82" s="193"/>
      <c r="M82" s="193"/>
      <c r="N82" s="193"/>
      <c r="O82" s="193"/>
      <c r="P82" s="193"/>
      <c r="Q82" s="193"/>
      <c r="R82" s="193"/>
      <c r="S82" s="193"/>
      <c r="T82" s="194"/>
      <c r="U82" s="6"/>
      <c r="V82" s="19"/>
      <c r="W82" s="19"/>
      <c r="X82" s="19"/>
    </row>
    <row r="83" spans="1:24" s="57" customFormat="1" ht="22.5" customHeight="1">
      <c r="A83" s="71" t="s">
        <v>78</v>
      </c>
      <c r="B83" s="190" t="s">
        <v>109</v>
      </c>
      <c r="C83" s="191"/>
      <c r="D83" s="72">
        <v>100</v>
      </c>
      <c r="E83" s="73">
        <v>9.51</v>
      </c>
      <c r="F83" s="73">
        <f>0.9*D83/60</f>
        <v>1.5</v>
      </c>
      <c r="G83" s="112">
        <f>3.1*D83/60</f>
        <v>5.166666666666667</v>
      </c>
      <c r="H83" s="112">
        <f>5.6*D83/60</f>
        <v>9.3333333333333339</v>
      </c>
      <c r="I83" s="73">
        <f>F83*4+G83*9+H83*4</f>
        <v>89.833333333333343</v>
      </c>
      <c r="J83" s="74">
        <f>0.1*D83/60</f>
        <v>0.16666666666666666</v>
      </c>
      <c r="K83" s="74">
        <f>0.1*D83/60</f>
        <v>0.16666666666666666</v>
      </c>
      <c r="L83" s="73">
        <f>12.3*D83/60</f>
        <v>20.5</v>
      </c>
      <c r="M83" s="74">
        <f>0.02*D83/60</f>
        <v>3.3333333333333333E-2</v>
      </c>
      <c r="N83" s="74">
        <f>0.5*D83/60</f>
        <v>0.83333333333333337</v>
      </c>
      <c r="O83" s="112">
        <f>59.9*D83/60</f>
        <v>99.833333333333329</v>
      </c>
      <c r="P83" s="112">
        <f>31.3*D83/60</f>
        <v>52.166666666666664</v>
      </c>
      <c r="Q83" s="150">
        <f>0.4228*D83/60</f>
        <v>0.70466666666666666</v>
      </c>
      <c r="R83" s="74">
        <f>0.003*D83/60</f>
        <v>5.0000000000000001E-3</v>
      </c>
      <c r="S83" s="112">
        <f>16.3*D83/60</f>
        <v>27.166666666666668</v>
      </c>
      <c r="T83" s="73">
        <f>0.7*D83/60</f>
        <v>1.1666666666666667</v>
      </c>
      <c r="U83" s="58"/>
      <c r="V83" s="59"/>
      <c r="W83" s="59"/>
      <c r="X83" s="59"/>
    </row>
    <row r="84" spans="1:24" s="57" customFormat="1" ht="22.5" customHeight="1">
      <c r="A84" s="100">
        <v>108</v>
      </c>
      <c r="B84" s="190" t="s">
        <v>70</v>
      </c>
      <c r="C84" s="191"/>
      <c r="D84" s="75">
        <v>250</v>
      </c>
      <c r="E84" s="73">
        <v>10.64</v>
      </c>
      <c r="F84" s="73">
        <v>3.15</v>
      </c>
      <c r="G84" s="74">
        <v>3.55</v>
      </c>
      <c r="H84" s="74">
        <v>20.837499999999999</v>
      </c>
      <c r="I84" s="73">
        <v>127.89999999999999</v>
      </c>
      <c r="J84" s="74">
        <v>8.7499999999999994E-2</v>
      </c>
      <c r="K84" s="74">
        <v>7.4999999999999997E-2</v>
      </c>
      <c r="L84" s="74">
        <v>11.3125</v>
      </c>
      <c r="M84" s="74">
        <v>0.59</v>
      </c>
      <c r="N84" s="74">
        <v>0.875</v>
      </c>
      <c r="O84" s="74">
        <v>25.737500000000001</v>
      </c>
      <c r="P84" s="74">
        <v>60.237499999999997</v>
      </c>
      <c r="Q84" s="74">
        <v>0.25</v>
      </c>
      <c r="R84" s="74">
        <v>1.25E-3</v>
      </c>
      <c r="S84" s="74">
        <v>18.2</v>
      </c>
      <c r="T84" s="74">
        <v>0.92500000000000004</v>
      </c>
      <c r="U84" s="58"/>
      <c r="V84" s="59"/>
      <c r="W84" s="59"/>
      <c r="X84" s="59"/>
    </row>
    <row r="85" spans="1:24" s="57" customFormat="1" ht="22.5" customHeight="1">
      <c r="A85" s="76">
        <v>268</v>
      </c>
      <c r="B85" s="241" t="s">
        <v>104</v>
      </c>
      <c r="C85" s="242"/>
      <c r="D85" s="77">
        <v>100</v>
      </c>
      <c r="E85" s="110">
        <v>55.86</v>
      </c>
      <c r="F85" s="110">
        <v>18.5</v>
      </c>
      <c r="G85" s="110">
        <v>25.86</v>
      </c>
      <c r="H85" s="110">
        <v>4.76</v>
      </c>
      <c r="I85" s="110">
        <v>325.8</v>
      </c>
      <c r="J85" s="110">
        <v>0.22</v>
      </c>
      <c r="K85" s="110">
        <v>0.15</v>
      </c>
      <c r="L85" s="110">
        <v>0.53</v>
      </c>
      <c r="M85" s="110">
        <v>9.9000000000000005E-2</v>
      </c>
      <c r="N85" s="110">
        <v>1.2E-2</v>
      </c>
      <c r="O85" s="110">
        <v>60.56</v>
      </c>
      <c r="P85" s="110">
        <v>222.37</v>
      </c>
      <c r="Q85" s="110">
        <v>2.85</v>
      </c>
      <c r="R85" s="110">
        <v>0.05</v>
      </c>
      <c r="S85" s="110">
        <v>30.56</v>
      </c>
      <c r="T85" s="110">
        <v>2.41</v>
      </c>
      <c r="U85" s="58"/>
      <c r="V85" s="59"/>
      <c r="W85" s="59"/>
      <c r="X85" s="59"/>
    </row>
    <row r="86" spans="1:24" s="57" customFormat="1" ht="12" customHeight="1">
      <c r="A86" s="71">
        <v>203</v>
      </c>
      <c r="B86" s="190" t="s">
        <v>63</v>
      </c>
      <c r="C86" s="191"/>
      <c r="D86" s="72">
        <v>180</v>
      </c>
      <c r="E86" s="73">
        <v>10.97</v>
      </c>
      <c r="F86" s="73">
        <v>6.84</v>
      </c>
      <c r="G86" s="73">
        <v>4.1159999999999997</v>
      </c>
      <c r="H86" s="73">
        <v>43.740000000000009</v>
      </c>
      <c r="I86" s="73">
        <v>239.36400000000003</v>
      </c>
      <c r="J86" s="73">
        <v>0.108</v>
      </c>
      <c r="K86" s="73">
        <v>3.5999999999999997E-2</v>
      </c>
      <c r="L86" s="73">
        <v>0</v>
      </c>
      <c r="M86" s="74">
        <v>3.5999999999999997E-2</v>
      </c>
      <c r="N86" s="73">
        <v>1.5</v>
      </c>
      <c r="O86" s="73">
        <v>15.936</v>
      </c>
      <c r="P86" s="73">
        <v>55.451999999999998</v>
      </c>
      <c r="Q86" s="73">
        <v>0.93600000000000005</v>
      </c>
      <c r="R86" s="74">
        <v>1.8000000000000002E-3</v>
      </c>
      <c r="S86" s="73">
        <v>10.164000000000001</v>
      </c>
      <c r="T86" s="73">
        <v>1.032</v>
      </c>
      <c r="U86" s="58"/>
      <c r="V86" s="59"/>
      <c r="W86" s="59"/>
      <c r="X86" s="59"/>
    </row>
    <row r="87" spans="1:24" s="57" customFormat="1" ht="12" customHeight="1">
      <c r="A87" s="100">
        <v>349</v>
      </c>
      <c r="B87" s="190" t="s">
        <v>67</v>
      </c>
      <c r="C87" s="191"/>
      <c r="D87" s="72">
        <v>200</v>
      </c>
      <c r="E87" s="73">
        <v>5.61</v>
      </c>
      <c r="F87" s="73">
        <v>0.22</v>
      </c>
      <c r="G87" s="75">
        <v>0</v>
      </c>
      <c r="H87" s="73">
        <v>24.42</v>
      </c>
      <c r="I87" s="73">
        <v>98.56</v>
      </c>
      <c r="J87" s="75">
        <v>0</v>
      </c>
      <c r="K87" s="75">
        <v>0</v>
      </c>
      <c r="L87" s="73">
        <v>26.11</v>
      </c>
      <c r="M87" s="75">
        <v>0</v>
      </c>
      <c r="N87" s="75">
        <v>0</v>
      </c>
      <c r="O87" s="112">
        <v>22.6</v>
      </c>
      <c r="P87" s="112">
        <v>7.7</v>
      </c>
      <c r="Q87" s="72">
        <v>0</v>
      </c>
      <c r="R87" s="72">
        <v>0</v>
      </c>
      <c r="S87" s="112">
        <v>3</v>
      </c>
      <c r="T87" s="73">
        <v>0.66</v>
      </c>
      <c r="U87" s="58"/>
      <c r="V87" s="59"/>
      <c r="W87" s="59"/>
      <c r="X87" s="59"/>
    </row>
    <row r="88" spans="1:24" s="57" customFormat="1" ht="11.25" customHeight="1">
      <c r="A88" s="111" t="s">
        <v>57</v>
      </c>
      <c r="B88" s="190" t="s">
        <v>42</v>
      </c>
      <c r="C88" s="191"/>
      <c r="D88" s="72">
        <v>40</v>
      </c>
      <c r="E88" s="73">
        <v>2.56</v>
      </c>
      <c r="F88" s="73">
        <f>2.64*D88/40</f>
        <v>2.64</v>
      </c>
      <c r="G88" s="73">
        <f>0.48*D88/40</f>
        <v>0.48</v>
      </c>
      <c r="H88" s="73">
        <f>13.68*D88/40</f>
        <v>13.680000000000001</v>
      </c>
      <c r="I88" s="73">
        <f>F88*4+G88*9+H88*4</f>
        <v>69.600000000000009</v>
      </c>
      <c r="J88" s="75">
        <f>0.08*D88/40</f>
        <v>0.08</v>
      </c>
      <c r="K88" s="73">
        <f>0.04*D88/40</f>
        <v>0.04</v>
      </c>
      <c r="L88" s="72">
        <v>0</v>
      </c>
      <c r="M88" s="72">
        <v>0</v>
      </c>
      <c r="N88" s="73">
        <f>2.4*D88/40</f>
        <v>2.4</v>
      </c>
      <c r="O88" s="73">
        <f>14*D88/40</f>
        <v>14</v>
      </c>
      <c r="P88" s="73">
        <f>63.2*D88/40</f>
        <v>63.2</v>
      </c>
      <c r="Q88" s="73">
        <f>1.2*D88/40</f>
        <v>1.2</v>
      </c>
      <c r="R88" s="74">
        <f>0.001*D88/40</f>
        <v>1E-3</v>
      </c>
      <c r="S88" s="73">
        <f>9.4*D88/40</f>
        <v>9.4</v>
      </c>
      <c r="T88" s="75">
        <f>0.78*D88/40</f>
        <v>0.78</v>
      </c>
      <c r="U88" s="60"/>
      <c r="V88" s="61"/>
      <c r="W88" s="61"/>
      <c r="X88" s="61"/>
    </row>
    <row r="89" spans="1:24" s="57" customFormat="1" ht="11.25" customHeight="1">
      <c r="A89" s="100" t="s">
        <v>57</v>
      </c>
      <c r="B89" s="190" t="s">
        <v>46</v>
      </c>
      <c r="C89" s="191"/>
      <c r="D89" s="72">
        <v>30</v>
      </c>
      <c r="E89" s="73">
        <v>2.85</v>
      </c>
      <c r="F89" s="73">
        <f>1.52*D89/30</f>
        <v>1.52</v>
      </c>
      <c r="G89" s="74">
        <f>0.16*D89/30</f>
        <v>0.16</v>
      </c>
      <c r="H89" s="74">
        <f>9.84*D89/30</f>
        <v>9.84</v>
      </c>
      <c r="I89" s="74">
        <f>F89*4+G89*9+H89*4</f>
        <v>46.879999999999995</v>
      </c>
      <c r="J89" s="74">
        <f>0.02*D89/30</f>
        <v>0.02</v>
      </c>
      <c r="K89" s="74">
        <f>0.01*D89/30</f>
        <v>0.01</v>
      </c>
      <c r="L89" s="74">
        <f>0.44*D89/30</f>
        <v>0.44</v>
      </c>
      <c r="M89" s="74">
        <v>0</v>
      </c>
      <c r="N89" s="74">
        <f>0.7*D89/30</f>
        <v>0.7</v>
      </c>
      <c r="O89" s="74">
        <f>4*D89/30</f>
        <v>4</v>
      </c>
      <c r="P89" s="74">
        <f>13*D89/30</f>
        <v>13</v>
      </c>
      <c r="Q89" s="74">
        <f>0.008*D89/30</f>
        <v>8.0000000000000002E-3</v>
      </c>
      <c r="R89" s="74">
        <f>0.001*D89/30</f>
        <v>1E-3</v>
      </c>
      <c r="S89" s="74">
        <v>0</v>
      </c>
      <c r="T89" s="74">
        <f>0.22*D89/30</f>
        <v>0.22</v>
      </c>
      <c r="U89" s="58"/>
      <c r="V89" s="59"/>
      <c r="W89" s="59"/>
      <c r="X89" s="59"/>
    </row>
    <row r="90" spans="1:24" s="2" customFormat="1" ht="11.25" customHeight="1">
      <c r="A90" s="101" t="s">
        <v>25</v>
      </c>
      <c r="B90" s="102"/>
      <c r="C90" s="102"/>
      <c r="D90" s="103">
        <f t="shared" ref="D90:T90" si="20">SUM(D83:D89)</f>
        <v>900</v>
      </c>
      <c r="E90" s="104">
        <f t="shared" si="20"/>
        <v>97.999999999999986</v>
      </c>
      <c r="F90" s="104">
        <f t="shared" si="20"/>
        <v>34.369999999999997</v>
      </c>
      <c r="G90" s="104">
        <f t="shared" si="20"/>
        <v>39.332666666666661</v>
      </c>
      <c r="H90" s="104">
        <f t="shared" si="20"/>
        <v>126.61083333333336</v>
      </c>
      <c r="I90" s="104">
        <f t="shared" si="20"/>
        <v>997.9373333333333</v>
      </c>
      <c r="J90" s="104">
        <f t="shared" si="20"/>
        <v>0.68216666666666659</v>
      </c>
      <c r="K90" s="104">
        <f t="shared" si="20"/>
        <v>0.47766666666666657</v>
      </c>
      <c r="L90" s="104">
        <f t="shared" si="20"/>
        <v>58.892499999999998</v>
      </c>
      <c r="M90" s="104">
        <f t="shared" si="20"/>
        <v>0.7583333333333333</v>
      </c>
      <c r="N90" s="104">
        <f t="shared" si="20"/>
        <v>6.3203333333333331</v>
      </c>
      <c r="O90" s="104">
        <f t="shared" si="20"/>
        <v>242.66683333333333</v>
      </c>
      <c r="P90" s="104">
        <f t="shared" si="20"/>
        <v>474.12616666666668</v>
      </c>
      <c r="Q90" s="104">
        <f t="shared" si="20"/>
        <v>5.948666666666667</v>
      </c>
      <c r="R90" s="104">
        <f t="shared" si="20"/>
        <v>6.0050000000000006E-2</v>
      </c>
      <c r="S90" s="104">
        <f t="shared" si="20"/>
        <v>98.490666666666669</v>
      </c>
      <c r="T90" s="104">
        <f t="shared" si="20"/>
        <v>7.1936666666666671</v>
      </c>
      <c r="U90" s="23"/>
      <c r="V90" s="44"/>
      <c r="W90" s="44"/>
      <c r="X90" s="44"/>
    </row>
    <row r="91" spans="1:24" s="2" customFormat="1" ht="11.25" customHeight="1">
      <c r="A91" s="220" t="s">
        <v>54</v>
      </c>
      <c r="B91" s="221"/>
      <c r="C91" s="221"/>
      <c r="D91" s="222"/>
      <c r="E91" s="142">
        <f>98-E90</f>
        <v>0</v>
      </c>
      <c r="F91" s="143">
        <f t="shared" ref="F91:T91" si="21">F90/F98</f>
        <v>0.38188888888888883</v>
      </c>
      <c r="G91" s="149">
        <f t="shared" si="21"/>
        <v>0.42752898550724633</v>
      </c>
      <c r="H91" s="149">
        <f t="shared" si="21"/>
        <v>0.330576588337685</v>
      </c>
      <c r="I91" s="149">
        <f t="shared" si="21"/>
        <v>0.36688872549019608</v>
      </c>
      <c r="J91" s="149">
        <f t="shared" si="21"/>
        <v>0.48726190476190473</v>
      </c>
      <c r="K91" s="149">
        <f t="shared" si="21"/>
        <v>0.29854166666666659</v>
      </c>
      <c r="L91" s="149">
        <f t="shared" si="21"/>
        <v>0.84132142857142855</v>
      </c>
      <c r="M91" s="149">
        <f t="shared" si="21"/>
        <v>0.84259259259259256</v>
      </c>
      <c r="N91" s="149">
        <f t="shared" si="21"/>
        <v>0.52669444444444447</v>
      </c>
      <c r="O91" s="149">
        <f t="shared" si="21"/>
        <v>0.20222236111111111</v>
      </c>
      <c r="P91" s="149">
        <f t="shared" si="21"/>
        <v>0.39510513888888887</v>
      </c>
      <c r="Q91" s="149">
        <f t="shared" si="21"/>
        <v>0.42490476190476195</v>
      </c>
      <c r="R91" s="149">
        <f t="shared" si="21"/>
        <v>0.60050000000000003</v>
      </c>
      <c r="S91" s="149">
        <f t="shared" si="21"/>
        <v>0.32830222222222222</v>
      </c>
      <c r="T91" s="149">
        <f t="shared" si="21"/>
        <v>0.3996481481481482</v>
      </c>
      <c r="U91" s="28"/>
      <c r="V91" s="44"/>
      <c r="W91" s="44"/>
      <c r="X91" s="44"/>
    </row>
    <row r="92" spans="1:24" s="2" customFormat="1" ht="11.25" customHeight="1">
      <c r="A92" s="192" t="s">
        <v>26</v>
      </c>
      <c r="B92" s="193"/>
      <c r="C92" s="193"/>
      <c r="D92" s="193"/>
      <c r="E92" s="193"/>
      <c r="F92" s="193"/>
      <c r="G92" s="193"/>
      <c r="H92" s="193"/>
      <c r="I92" s="193"/>
      <c r="J92" s="193"/>
      <c r="K92" s="193"/>
      <c r="L92" s="193"/>
      <c r="M92" s="193"/>
      <c r="N92" s="193"/>
      <c r="O92" s="193"/>
      <c r="P92" s="193"/>
      <c r="Q92" s="193"/>
      <c r="R92" s="193"/>
      <c r="S92" s="193"/>
      <c r="T92" s="194"/>
      <c r="U92" s="6"/>
      <c r="V92" s="19"/>
      <c r="W92" s="19"/>
      <c r="X92" s="19"/>
    </row>
    <row r="93" spans="1:24" s="42" customFormat="1" ht="12" customHeight="1">
      <c r="A93" s="117"/>
      <c r="B93" s="201"/>
      <c r="C93" s="201"/>
      <c r="D93" s="118"/>
      <c r="E93" s="119"/>
      <c r="F93" s="119"/>
      <c r="G93" s="122"/>
      <c r="H93" s="122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</row>
    <row r="94" spans="1:24" s="2" customFormat="1" ht="21.75" customHeight="1">
      <c r="A94" s="100"/>
      <c r="B94" s="190"/>
      <c r="C94" s="191"/>
      <c r="D94" s="72"/>
      <c r="E94" s="73"/>
      <c r="F94" s="73"/>
      <c r="G94" s="75"/>
      <c r="H94" s="73"/>
      <c r="I94" s="73"/>
      <c r="J94" s="75"/>
      <c r="K94" s="75"/>
      <c r="L94" s="73"/>
      <c r="M94" s="75"/>
      <c r="N94" s="75"/>
      <c r="O94" s="112"/>
      <c r="P94" s="112"/>
      <c r="Q94" s="72"/>
      <c r="R94" s="72"/>
      <c r="S94" s="112"/>
      <c r="T94" s="73"/>
      <c r="U94" s="34"/>
      <c r="V94" s="35"/>
      <c r="W94" s="35"/>
      <c r="X94" s="35"/>
    </row>
    <row r="95" spans="1:24" s="1" customFormat="1" ht="11.25" customHeight="1">
      <c r="A95" s="101" t="s">
        <v>27</v>
      </c>
      <c r="B95" s="102"/>
      <c r="C95" s="102"/>
      <c r="D95" s="103">
        <f t="shared" ref="D95:T95" si="22">SUM(D93:D94)</f>
        <v>0</v>
      </c>
      <c r="E95" s="104">
        <f t="shared" si="22"/>
        <v>0</v>
      </c>
      <c r="F95" s="113">
        <f t="shared" si="22"/>
        <v>0</v>
      </c>
      <c r="G95" s="114">
        <f t="shared" si="22"/>
        <v>0</v>
      </c>
      <c r="H95" s="114">
        <f t="shared" si="22"/>
        <v>0</v>
      </c>
      <c r="I95" s="114">
        <f t="shared" si="22"/>
        <v>0</v>
      </c>
      <c r="J95" s="114">
        <f t="shared" si="22"/>
        <v>0</v>
      </c>
      <c r="K95" s="114">
        <f t="shared" si="22"/>
        <v>0</v>
      </c>
      <c r="L95" s="114">
        <f t="shared" si="22"/>
        <v>0</v>
      </c>
      <c r="M95" s="114">
        <f t="shared" si="22"/>
        <v>0</v>
      </c>
      <c r="N95" s="114">
        <f t="shared" si="22"/>
        <v>0</v>
      </c>
      <c r="O95" s="114">
        <f t="shared" si="22"/>
        <v>0</v>
      </c>
      <c r="P95" s="114">
        <f t="shared" si="22"/>
        <v>0</v>
      </c>
      <c r="Q95" s="114">
        <f t="shared" si="22"/>
        <v>0</v>
      </c>
      <c r="R95" s="114">
        <f t="shared" si="22"/>
        <v>0</v>
      </c>
      <c r="S95" s="114">
        <f t="shared" si="22"/>
        <v>0</v>
      </c>
      <c r="T95" s="114">
        <f t="shared" si="22"/>
        <v>0</v>
      </c>
      <c r="U95" s="23"/>
      <c r="V95" s="44"/>
      <c r="W95" s="44"/>
      <c r="X95" s="44"/>
    </row>
    <row r="96" spans="1:24" s="1" customFormat="1" ht="11.25" customHeight="1">
      <c r="A96" s="220" t="s">
        <v>54</v>
      </c>
      <c r="B96" s="221"/>
      <c r="C96" s="221"/>
      <c r="D96" s="222"/>
      <c r="E96" s="151"/>
      <c r="F96" s="143">
        <f>F95/F98</f>
        <v>0</v>
      </c>
      <c r="G96" s="152">
        <f t="shared" ref="G96:T96" si="23">G95/G98</f>
        <v>0</v>
      </c>
      <c r="H96" s="152">
        <f t="shared" si="23"/>
        <v>0</v>
      </c>
      <c r="I96" s="152">
        <f t="shared" si="23"/>
        <v>0</v>
      </c>
      <c r="J96" s="152">
        <f t="shared" si="23"/>
        <v>0</v>
      </c>
      <c r="K96" s="152">
        <f t="shared" si="23"/>
        <v>0</v>
      </c>
      <c r="L96" s="152">
        <f t="shared" si="23"/>
        <v>0</v>
      </c>
      <c r="M96" s="152">
        <f t="shared" si="23"/>
        <v>0</v>
      </c>
      <c r="N96" s="152">
        <f t="shared" si="23"/>
        <v>0</v>
      </c>
      <c r="O96" s="152">
        <f t="shared" si="23"/>
        <v>0</v>
      </c>
      <c r="P96" s="152">
        <f t="shared" si="23"/>
        <v>0</v>
      </c>
      <c r="Q96" s="152">
        <f t="shared" si="23"/>
        <v>0</v>
      </c>
      <c r="R96" s="152">
        <f t="shared" si="23"/>
        <v>0</v>
      </c>
      <c r="S96" s="152">
        <f t="shared" si="23"/>
        <v>0</v>
      </c>
      <c r="T96" s="152">
        <f t="shared" si="23"/>
        <v>0</v>
      </c>
      <c r="U96" s="33"/>
      <c r="V96" s="44"/>
      <c r="W96" s="44"/>
      <c r="X96" s="44"/>
    </row>
    <row r="97" spans="1:25" s="1" customFormat="1" ht="11.25" customHeight="1">
      <c r="A97" s="101" t="s">
        <v>53</v>
      </c>
      <c r="B97" s="102"/>
      <c r="C97" s="102"/>
      <c r="D97" s="125">
        <f>D90+D79</f>
        <v>1455</v>
      </c>
      <c r="E97" s="126">
        <f>E90+E79</f>
        <v>176.29999999999998</v>
      </c>
      <c r="F97" s="113">
        <f t="shared" ref="F97:T97" si="24">SUM(F79,F90,F95)</f>
        <v>39.729999999999997</v>
      </c>
      <c r="G97" s="114">
        <f t="shared" si="24"/>
        <v>45.892666666666663</v>
      </c>
      <c r="H97" s="114">
        <f t="shared" si="24"/>
        <v>197.93083333333334</v>
      </c>
      <c r="I97" s="114">
        <f t="shared" si="24"/>
        <v>1473.9973333333332</v>
      </c>
      <c r="J97" s="113">
        <f t="shared" si="24"/>
        <v>0.79216666666666657</v>
      </c>
      <c r="K97" s="113">
        <f t="shared" si="24"/>
        <v>0.66766666666666663</v>
      </c>
      <c r="L97" s="115">
        <f t="shared" si="24"/>
        <v>71.982500000000002</v>
      </c>
      <c r="M97" s="113">
        <f t="shared" si="24"/>
        <v>0.79833333333333334</v>
      </c>
      <c r="N97" s="115">
        <f t="shared" si="24"/>
        <v>7.7443333333333335</v>
      </c>
      <c r="O97" s="114">
        <f t="shared" si="24"/>
        <v>266.90683333333334</v>
      </c>
      <c r="P97" s="113">
        <f t="shared" si="24"/>
        <v>644.00616666666667</v>
      </c>
      <c r="Q97" s="114">
        <f t="shared" si="24"/>
        <v>6.8056666666666672</v>
      </c>
      <c r="R97" s="116">
        <f t="shared" si="24"/>
        <v>8.2050000000000012E-2</v>
      </c>
      <c r="S97" s="113">
        <f t="shared" si="24"/>
        <v>125.66066666666667</v>
      </c>
      <c r="T97" s="113">
        <f t="shared" si="24"/>
        <v>11.173666666666668</v>
      </c>
      <c r="U97" s="29"/>
      <c r="V97" s="24"/>
      <c r="W97" s="24"/>
      <c r="X97" s="24"/>
    </row>
    <row r="98" spans="1:25" s="1" customFormat="1" ht="11.25" customHeight="1">
      <c r="A98" s="220" t="s">
        <v>55</v>
      </c>
      <c r="B98" s="221"/>
      <c r="C98" s="221"/>
      <c r="D98" s="222"/>
      <c r="E98" s="127"/>
      <c r="F98" s="73">
        <v>90</v>
      </c>
      <c r="G98" s="112">
        <v>92</v>
      </c>
      <c r="H98" s="112">
        <v>383</v>
      </c>
      <c r="I98" s="112">
        <v>2720</v>
      </c>
      <c r="J98" s="73">
        <v>1.4</v>
      </c>
      <c r="K98" s="73">
        <v>1.6</v>
      </c>
      <c r="L98" s="72">
        <v>70</v>
      </c>
      <c r="M98" s="73">
        <v>0.9</v>
      </c>
      <c r="N98" s="72">
        <v>12</v>
      </c>
      <c r="O98" s="72">
        <v>1200</v>
      </c>
      <c r="P98" s="72">
        <v>1200</v>
      </c>
      <c r="Q98" s="72">
        <v>14</v>
      </c>
      <c r="R98" s="112">
        <v>0.1</v>
      </c>
      <c r="S98" s="72">
        <v>300</v>
      </c>
      <c r="T98" s="73">
        <v>18</v>
      </c>
      <c r="U98" s="34"/>
      <c r="V98" s="35"/>
      <c r="W98" s="35"/>
      <c r="X98" s="35"/>
    </row>
    <row r="99" spans="1:25" s="3" customFormat="1" ht="11.25" customHeight="1">
      <c r="A99" s="185" t="s">
        <v>54</v>
      </c>
      <c r="B99" s="186"/>
      <c r="C99" s="186"/>
      <c r="D99" s="187"/>
      <c r="E99" s="124"/>
      <c r="F99" s="107">
        <f t="shared" ref="F99:T99" si="25">F97/F98</f>
        <v>0.44144444444444442</v>
      </c>
      <c r="G99" s="108">
        <f t="shared" si="25"/>
        <v>0.4988333333333333</v>
      </c>
      <c r="H99" s="108">
        <f t="shared" si="25"/>
        <v>0.51679068755439517</v>
      </c>
      <c r="I99" s="108">
        <f t="shared" si="25"/>
        <v>0.54191078431372541</v>
      </c>
      <c r="J99" s="108">
        <f t="shared" si="25"/>
        <v>0.5658333333333333</v>
      </c>
      <c r="K99" s="108">
        <f t="shared" si="25"/>
        <v>0.41729166666666662</v>
      </c>
      <c r="L99" s="108">
        <f t="shared" si="25"/>
        <v>1.0283214285714286</v>
      </c>
      <c r="M99" s="128">
        <f t="shared" si="25"/>
        <v>0.88703703703703707</v>
      </c>
      <c r="N99" s="128">
        <f t="shared" si="25"/>
        <v>0.64536111111111116</v>
      </c>
      <c r="O99" s="108">
        <f t="shared" si="25"/>
        <v>0.22242236111111111</v>
      </c>
      <c r="P99" s="108">
        <f t="shared" si="25"/>
        <v>0.5366718055555556</v>
      </c>
      <c r="Q99" s="108">
        <f t="shared" si="25"/>
        <v>0.48611904761904767</v>
      </c>
      <c r="R99" s="128">
        <f t="shared" si="25"/>
        <v>0.82050000000000012</v>
      </c>
      <c r="S99" s="108">
        <f t="shared" si="25"/>
        <v>0.4188688888888889</v>
      </c>
      <c r="T99" s="108">
        <f t="shared" si="25"/>
        <v>0.62075925925925934</v>
      </c>
      <c r="U99" s="30"/>
      <c r="V99" s="31"/>
      <c r="W99" s="31"/>
      <c r="X99" s="31"/>
    </row>
    <row r="100" spans="1:25" s="1" customFormat="1" ht="11.25" customHeight="1">
      <c r="A100" s="208" t="s">
        <v>32</v>
      </c>
      <c r="B100" s="208"/>
      <c r="C100" s="208"/>
      <c r="D100" s="208"/>
      <c r="E100" s="208"/>
      <c r="F100" s="208"/>
      <c r="G100" s="208"/>
      <c r="H100" s="208"/>
      <c r="I100" s="208"/>
      <c r="J100" s="208"/>
      <c r="K100" s="208"/>
      <c r="L100" s="208"/>
      <c r="M100" s="208"/>
      <c r="N100" s="208"/>
      <c r="O100" s="208"/>
      <c r="P100" s="208"/>
      <c r="Q100" s="208"/>
      <c r="R100" s="208"/>
      <c r="S100" s="208"/>
      <c r="T100" s="208"/>
      <c r="U100" s="8"/>
      <c r="V100" s="20"/>
      <c r="W100" s="20"/>
      <c r="X100" s="20"/>
    </row>
    <row r="101" spans="1:25" s="1" customFormat="1" ht="11.25" customHeight="1">
      <c r="A101" s="87" t="s">
        <v>47</v>
      </c>
      <c r="B101" s="88"/>
      <c r="C101" s="88"/>
      <c r="D101" s="82"/>
      <c r="E101" s="82"/>
      <c r="F101" s="85"/>
      <c r="G101" s="189" t="s">
        <v>33</v>
      </c>
      <c r="H101" s="189"/>
      <c r="I101" s="189"/>
      <c r="J101" s="84"/>
      <c r="K101" s="84"/>
      <c r="L101" s="207" t="s">
        <v>1</v>
      </c>
      <c r="M101" s="207"/>
      <c r="N101" s="188" t="str">
        <f>N70</f>
        <v>осенне-зимний</v>
      </c>
      <c r="O101" s="188"/>
      <c r="P101" s="188"/>
      <c r="Q101" s="188"/>
      <c r="R101" s="84"/>
      <c r="S101" s="84"/>
      <c r="T101" s="84"/>
      <c r="U101" s="9"/>
      <c r="V101" s="15"/>
      <c r="W101" s="15"/>
      <c r="X101" s="15"/>
    </row>
    <row r="102" spans="1:25" s="1" customFormat="1" ht="11.25" customHeight="1">
      <c r="A102" s="88"/>
      <c r="B102" s="88"/>
      <c r="C102" s="88"/>
      <c r="D102" s="206" t="s">
        <v>2</v>
      </c>
      <c r="E102" s="206"/>
      <c r="F102" s="206"/>
      <c r="G102" s="89">
        <v>1</v>
      </c>
      <c r="H102" s="84"/>
      <c r="I102" s="82"/>
      <c r="J102" s="82"/>
      <c r="K102" s="82"/>
      <c r="L102" s="206" t="s">
        <v>3</v>
      </c>
      <c r="M102" s="206"/>
      <c r="N102" s="189" t="str">
        <f>N71</f>
        <v>с 7-11 лет</v>
      </c>
      <c r="O102" s="189"/>
      <c r="P102" s="189"/>
      <c r="Q102" s="189"/>
      <c r="R102" s="189"/>
      <c r="S102" s="189"/>
      <c r="T102" s="189"/>
      <c r="U102" s="10"/>
      <c r="V102" s="16"/>
      <c r="W102" s="16"/>
      <c r="X102" s="16"/>
    </row>
    <row r="103" spans="1:25" s="1" customFormat="1" ht="21.75" customHeight="1">
      <c r="A103" s="199" t="s">
        <v>64</v>
      </c>
      <c r="B103" s="199" t="s">
        <v>5</v>
      </c>
      <c r="C103" s="199"/>
      <c r="D103" s="199" t="s">
        <v>6</v>
      </c>
      <c r="E103" s="139"/>
      <c r="F103" s="205" t="s">
        <v>7</v>
      </c>
      <c r="G103" s="205"/>
      <c r="H103" s="205"/>
      <c r="I103" s="199" t="s">
        <v>8</v>
      </c>
      <c r="J103" s="205" t="s">
        <v>9</v>
      </c>
      <c r="K103" s="205"/>
      <c r="L103" s="205"/>
      <c r="M103" s="205"/>
      <c r="N103" s="205"/>
      <c r="O103" s="205" t="s">
        <v>10</v>
      </c>
      <c r="P103" s="205"/>
      <c r="Q103" s="205"/>
      <c r="R103" s="205"/>
      <c r="S103" s="205"/>
      <c r="T103" s="205"/>
      <c r="U103" s="4"/>
      <c r="V103" s="17"/>
      <c r="W103" s="17"/>
      <c r="X103" s="17"/>
    </row>
    <row r="104" spans="1:25" s="1" customFormat="1" ht="21" customHeight="1">
      <c r="A104" s="200"/>
      <c r="B104" s="197"/>
      <c r="C104" s="198"/>
      <c r="D104" s="200"/>
      <c r="E104" s="91"/>
      <c r="F104" s="92" t="s">
        <v>11</v>
      </c>
      <c r="G104" s="93" t="s">
        <v>12</v>
      </c>
      <c r="H104" s="93" t="s">
        <v>13</v>
      </c>
      <c r="I104" s="200"/>
      <c r="J104" s="93" t="s">
        <v>14</v>
      </c>
      <c r="K104" s="93" t="s">
        <v>49</v>
      </c>
      <c r="L104" s="93" t="s">
        <v>15</v>
      </c>
      <c r="M104" s="93" t="s">
        <v>16</v>
      </c>
      <c r="N104" s="93" t="s">
        <v>17</v>
      </c>
      <c r="O104" s="93" t="s">
        <v>18</v>
      </c>
      <c r="P104" s="93" t="s">
        <v>19</v>
      </c>
      <c r="Q104" s="93" t="s">
        <v>50</v>
      </c>
      <c r="R104" s="93" t="s">
        <v>51</v>
      </c>
      <c r="S104" s="93" t="s">
        <v>20</v>
      </c>
      <c r="T104" s="93" t="s">
        <v>21</v>
      </c>
      <c r="U104" s="4"/>
      <c r="V104" s="17"/>
      <c r="W104" s="17"/>
      <c r="X104" s="17"/>
    </row>
    <row r="105" spans="1:25" s="1" customFormat="1" ht="11.25" customHeight="1">
      <c r="A105" s="71">
        <v>1</v>
      </c>
      <c r="B105" s="234">
        <v>2</v>
      </c>
      <c r="C105" s="234"/>
      <c r="D105" s="94">
        <v>3</v>
      </c>
      <c r="E105" s="94"/>
      <c r="F105" s="95">
        <v>4</v>
      </c>
      <c r="G105" s="94">
        <v>5</v>
      </c>
      <c r="H105" s="94">
        <v>6</v>
      </c>
      <c r="I105" s="94">
        <v>7</v>
      </c>
      <c r="J105" s="94">
        <v>8</v>
      </c>
      <c r="K105" s="94">
        <v>9</v>
      </c>
      <c r="L105" s="94">
        <v>10</v>
      </c>
      <c r="M105" s="94">
        <v>11</v>
      </c>
      <c r="N105" s="94">
        <v>12</v>
      </c>
      <c r="O105" s="94">
        <v>13</v>
      </c>
      <c r="P105" s="94">
        <v>14</v>
      </c>
      <c r="Q105" s="94">
        <v>15</v>
      </c>
      <c r="R105" s="94">
        <v>16</v>
      </c>
      <c r="S105" s="94">
        <v>17</v>
      </c>
      <c r="T105" s="94">
        <v>18</v>
      </c>
      <c r="U105" s="5"/>
      <c r="V105" s="18"/>
      <c r="W105" s="18"/>
      <c r="X105" s="18"/>
    </row>
    <row r="106" spans="1:25" s="1" customFormat="1" ht="11.25" customHeight="1">
      <c r="A106" s="240" t="s">
        <v>75</v>
      </c>
      <c r="B106" s="240"/>
      <c r="C106" s="240"/>
      <c r="D106" s="240"/>
      <c r="E106" s="240"/>
      <c r="F106" s="240"/>
      <c r="G106" s="240"/>
      <c r="H106" s="240"/>
      <c r="I106" s="240"/>
      <c r="J106" s="240"/>
      <c r="K106" s="240"/>
      <c r="L106" s="240"/>
      <c r="M106" s="240"/>
      <c r="N106" s="240"/>
      <c r="O106" s="240"/>
      <c r="P106" s="240"/>
      <c r="Q106" s="240"/>
      <c r="R106" s="240"/>
      <c r="S106" s="240"/>
      <c r="T106" s="240"/>
      <c r="U106" s="6"/>
      <c r="V106" s="19"/>
      <c r="W106" s="19"/>
      <c r="X106" s="19"/>
    </row>
    <row r="107" spans="1:25" s="57" customFormat="1" ht="21.75" customHeight="1">
      <c r="A107" s="71">
        <v>173</v>
      </c>
      <c r="B107" s="190" t="s">
        <v>72</v>
      </c>
      <c r="C107" s="191"/>
      <c r="D107" s="72">
        <v>200</v>
      </c>
      <c r="E107" s="73">
        <v>28.06</v>
      </c>
      <c r="F107" s="73">
        <v>7.3</v>
      </c>
      <c r="G107" s="73">
        <v>12.5</v>
      </c>
      <c r="H107" s="73">
        <v>54.3</v>
      </c>
      <c r="I107" s="73">
        <v>358.9</v>
      </c>
      <c r="J107" s="73">
        <v>0.14000000000000001</v>
      </c>
      <c r="K107" s="73">
        <v>0.18</v>
      </c>
      <c r="L107" s="73">
        <v>3.35</v>
      </c>
      <c r="M107" s="74">
        <v>3.6999999999999998E-2</v>
      </c>
      <c r="N107" s="75">
        <v>1.3</v>
      </c>
      <c r="O107" s="73">
        <v>147.6</v>
      </c>
      <c r="P107" s="73">
        <v>198.6</v>
      </c>
      <c r="Q107" s="72">
        <v>0</v>
      </c>
      <c r="R107" s="74">
        <v>0</v>
      </c>
      <c r="S107" s="73">
        <v>57.8</v>
      </c>
      <c r="T107" s="73">
        <v>1.3</v>
      </c>
      <c r="U107" s="58"/>
      <c r="V107" s="63"/>
      <c r="W107" s="63"/>
      <c r="X107" s="63"/>
    </row>
    <row r="108" spans="1:25" s="49" customFormat="1" ht="12.75" customHeight="1">
      <c r="A108" s="153">
        <v>3</v>
      </c>
      <c r="B108" s="201" t="s">
        <v>88</v>
      </c>
      <c r="C108" s="201"/>
      <c r="D108" s="118">
        <v>50</v>
      </c>
      <c r="E108" s="119">
        <v>17</v>
      </c>
      <c r="F108" s="119">
        <v>3.81</v>
      </c>
      <c r="G108" s="154">
        <v>2.77</v>
      </c>
      <c r="H108" s="119">
        <v>17.77</v>
      </c>
      <c r="I108" s="119">
        <v>142.9</v>
      </c>
      <c r="J108" s="119">
        <v>0.04</v>
      </c>
      <c r="K108" s="119">
        <v>0.02</v>
      </c>
      <c r="L108" s="118">
        <v>10</v>
      </c>
      <c r="M108" s="118">
        <v>0.02</v>
      </c>
      <c r="N108" s="119">
        <v>0.2</v>
      </c>
      <c r="O108" s="119">
        <v>16</v>
      </c>
      <c r="P108" s="119">
        <v>11</v>
      </c>
      <c r="Q108" s="118">
        <v>0.03</v>
      </c>
      <c r="R108" s="118">
        <v>2E-3</v>
      </c>
      <c r="S108" s="119">
        <v>9</v>
      </c>
      <c r="T108" s="119">
        <v>2.2000000000000002</v>
      </c>
      <c r="U108" s="54"/>
      <c r="V108" s="54"/>
      <c r="W108" s="54"/>
      <c r="X108" s="54"/>
    </row>
    <row r="109" spans="1:25" s="57" customFormat="1" ht="12.75" customHeight="1">
      <c r="A109" s="71">
        <v>377</v>
      </c>
      <c r="B109" s="184" t="s">
        <v>41</v>
      </c>
      <c r="C109" s="184"/>
      <c r="D109" s="72">
        <v>200</v>
      </c>
      <c r="E109" s="73">
        <v>4.53</v>
      </c>
      <c r="F109" s="73">
        <v>0.26</v>
      </c>
      <c r="G109" s="73">
        <v>0.06</v>
      </c>
      <c r="H109" s="73">
        <v>15.22</v>
      </c>
      <c r="I109" s="73">
        <f>F109*4+G109*9+H109*4</f>
        <v>62.46</v>
      </c>
      <c r="J109" s="73">
        <v>0</v>
      </c>
      <c r="K109" s="73">
        <v>0.01</v>
      </c>
      <c r="L109" s="73">
        <v>2.9</v>
      </c>
      <c r="M109" s="75">
        <v>0</v>
      </c>
      <c r="N109" s="73">
        <v>0.06</v>
      </c>
      <c r="O109" s="73">
        <v>8.0500000000000007</v>
      </c>
      <c r="P109" s="73">
        <v>9.7799999999999994</v>
      </c>
      <c r="Q109" s="73">
        <v>1.7000000000000001E-2</v>
      </c>
      <c r="R109" s="74">
        <v>0</v>
      </c>
      <c r="S109" s="73">
        <v>5.24</v>
      </c>
      <c r="T109" s="73">
        <v>0.87</v>
      </c>
      <c r="U109" s="58"/>
      <c r="V109" s="59"/>
      <c r="W109" s="59"/>
      <c r="X109" s="59"/>
    </row>
    <row r="110" spans="1:25" s="49" customFormat="1" ht="11.25" customHeight="1">
      <c r="A110" s="140">
        <v>338</v>
      </c>
      <c r="B110" s="184" t="s">
        <v>71</v>
      </c>
      <c r="C110" s="184"/>
      <c r="D110" s="72">
        <v>110</v>
      </c>
      <c r="E110" s="73">
        <v>28.71</v>
      </c>
      <c r="F110" s="73">
        <v>1.5</v>
      </c>
      <c r="G110" s="73">
        <v>0.5</v>
      </c>
      <c r="H110" s="73">
        <v>2.1</v>
      </c>
      <c r="I110" s="73">
        <v>94.5</v>
      </c>
      <c r="J110" s="73">
        <v>0.04</v>
      </c>
      <c r="K110" s="73">
        <v>0.02</v>
      </c>
      <c r="L110" s="72">
        <v>10</v>
      </c>
      <c r="M110" s="72">
        <v>0.02</v>
      </c>
      <c r="N110" s="73">
        <v>0.2</v>
      </c>
      <c r="O110" s="73">
        <v>16</v>
      </c>
      <c r="P110" s="73">
        <v>11</v>
      </c>
      <c r="Q110" s="72">
        <v>0.03</v>
      </c>
      <c r="R110" s="72">
        <v>2E-3</v>
      </c>
      <c r="S110" s="73">
        <v>9</v>
      </c>
      <c r="T110" s="73">
        <v>2.2000000000000002</v>
      </c>
      <c r="U110" s="47"/>
      <c r="V110" s="52"/>
      <c r="W110" s="52"/>
      <c r="X110" s="53"/>
    </row>
    <row r="111" spans="1:25" s="1" customFormat="1" ht="11.25" customHeight="1">
      <c r="A111" s="141" t="s">
        <v>76</v>
      </c>
      <c r="B111" s="141"/>
      <c r="C111" s="141"/>
      <c r="D111" s="103">
        <f t="shared" ref="D111:T111" si="26">SUM(D107:D110)</f>
        <v>560</v>
      </c>
      <c r="E111" s="104">
        <f t="shared" si="26"/>
        <v>78.300000000000011</v>
      </c>
      <c r="F111" s="104">
        <f t="shared" si="26"/>
        <v>12.87</v>
      </c>
      <c r="G111" s="104">
        <f t="shared" si="26"/>
        <v>15.83</v>
      </c>
      <c r="H111" s="104">
        <f t="shared" si="26"/>
        <v>89.389999999999986</v>
      </c>
      <c r="I111" s="104">
        <f t="shared" si="26"/>
        <v>658.76</v>
      </c>
      <c r="J111" s="104">
        <f t="shared" si="26"/>
        <v>0.22000000000000003</v>
      </c>
      <c r="K111" s="104">
        <f t="shared" si="26"/>
        <v>0.22999999999999998</v>
      </c>
      <c r="L111" s="104">
        <f t="shared" si="26"/>
        <v>26.25</v>
      </c>
      <c r="M111" s="104">
        <f t="shared" si="26"/>
        <v>7.6999999999999999E-2</v>
      </c>
      <c r="N111" s="104">
        <f t="shared" si="26"/>
        <v>1.76</v>
      </c>
      <c r="O111" s="104">
        <f t="shared" si="26"/>
        <v>187.65</v>
      </c>
      <c r="P111" s="104">
        <f t="shared" si="26"/>
        <v>230.38</v>
      </c>
      <c r="Q111" s="104">
        <f t="shared" si="26"/>
        <v>7.6999999999999999E-2</v>
      </c>
      <c r="R111" s="104">
        <f t="shared" si="26"/>
        <v>4.0000000000000001E-3</v>
      </c>
      <c r="S111" s="104">
        <f t="shared" si="26"/>
        <v>81.039999999999992</v>
      </c>
      <c r="T111" s="104">
        <f t="shared" si="26"/>
        <v>6.57</v>
      </c>
      <c r="U111" s="23"/>
      <c r="V111" s="36">
        <f>AVERAGE(I112,I143,I179,I212,I245)</f>
        <v>47.133280637254906</v>
      </c>
      <c r="W111" s="36" t="e">
        <f>AVERAGE(I122,I155,#REF!,I222,#REF!)</f>
        <v>#REF!</v>
      </c>
      <c r="X111" s="36">
        <f>AVERAGE(I127,I161,I196,I227,I260)</f>
        <v>851.93246666666676</v>
      </c>
      <c r="Y111" s="43"/>
    </row>
    <row r="112" spans="1:25" s="1" customFormat="1" ht="11.25" customHeight="1">
      <c r="A112" s="220" t="s">
        <v>54</v>
      </c>
      <c r="B112" s="221"/>
      <c r="C112" s="221"/>
      <c r="D112" s="222"/>
      <c r="E112" s="127"/>
      <c r="F112" s="155">
        <f t="shared" ref="F112:T112" si="27">F111/F129</f>
        <v>0.14299999999999999</v>
      </c>
      <c r="G112" s="149">
        <f t="shared" si="27"/>
        <v>0.17206521739130434</v>
      </c>
      <c r="H112" s="149">
        <f t="shared" si="27"/>
        <v>0.23339425587467361</v>
      </c>
      <c r="I112" s="149">
        <f t="shared" si="27"/>
        <v>0.24219117647058824</v>
      </c>
      <c r="J112" s="149">
        <f t="shared" si="27"/>
        <v>0.15714285714285717</v>
      </c>
      <c r="K112" s="149">
        <f t="shared" si="27"/>
        <v>0.14374999999999999</v>
      </c>
      <c r="L112" s="149">
        <f t="shared" si="27"/>
        <v>0.375</v>
      </c>
      <c r="M112" s="149">
        <f t="shared" si="27"/>
        <v>8.5555555555555551E-2</v>
      </c>
      <c r="N112" s="149">
        <f t="shared" si="27"/>
        <v>0.14666666666666667</v>
      </c>
      <c r="O112" s="149">
        <f t="shared" si="27"/>
        <v>0.15637500000000001</v>
      </c>
      <c r="P112" s="149">
        <f t="shared" si="27"/>
        <v>0.19198333333333334</v>
      </c>
      <c r="Q112" s="149">
        <f t="shared" si="27"/>
        <v>5.4999999999999997E-3</v>
      </c>
      <c r="R112" s="149">
        <f t="shared" si="27"/>
        <v>0.04</v>
      </c>
      <c r="S112" s="149">
        <f t="shared" si="27"/>
        <v>0.27013333333333328</v>
      </c>
      <c r="T112" s="149">
        <f t="shared" si="27"/>
        <v>0.36499999999999999</v>
      </c>
      <c r="U112" s="28"/>
      <c r="V112" s="44"/>
      <c r="W112" s="44"/>
      <c r="X112" s="44"/>
    </row>
    <row r="113" spans="1:25" s="1" customFormat="1" ht="11.25" customHeight="1">
      <c r="A113" s="240" t="s">
        <v>24</v>
      </c>
      <c r="B113" s="240"/>
      <c r="C113" s="240"/>
      <c r="D113" s="240"/>
      <c r="E113" s="240"/>
      <c r="F113" s="240"/>
      <c r="G113" s="240"/>
      <c r="H113" s="240"/>
      <c r="I113" s="240"/>
      <c r="J113" s="240"/>
      <c r="K113" s="240"/>
      <c r="L113" s="240"/>
      <c r="M113" s="240"/>
      <c r="N113" s="240"/>
      <c r="O113" s="240"/>
      <c r="P113" s="240"/>
      <c r="Q113" s="240"/>
      <c r="R113" s="240"/>
      <c r="S113" s="240"/>
      <c r="T113" s="240"/>
      <c r="U113" s="6"/>
      <c r="V113" s="19"/>
      <c r="W113" s="19"/>
      <c r="X113" s="19"/>
    </row>
    <row r="114" spans="1:25" s="64" customFormat="1" ht="21.75" customHeight="1">
      <c r="A114" s="100">
        <v>52</v>
      </c>
      <c r="B114" s="190" t="s">
        <v>108</v>
      </c>
      <c r="C114" s="191"/>
      <c r="D114" s="72">
        <v>100</v>
      </c>
      <c r="E114" s="73">
        <v>8.9499999999999993</v>
      </c>
      <c r="F114" s="73">
        <v>1.4333333333333333</v>
      </c>
      <c r="G114" s="73">
        <v>5.083333333333333</v>
      </c>
      <c r="H114" s="73">
        <v>8.5500000000000007</v>
      </c>
      <c r="I114" s="73">
        <v>85.683333333333337</v>
      </c>
      <c r="J114" s="73">
        <v>1.6666666666666666E-2</v>
      </c>
      <c r="K114" s="73">
        <v>3.3333333333333333E-2</v>
      </c>
      <c r="L114" s="112">
        <v>9.5</v>
      </c>
      <c r="M114" s="73">
        <v>1.6666666666666666E-2</v>
      </c>
      <c r="N114" s="73">
        <v>0.16666666666666666</v>
      </c>
      <c r="O114" s="73">
        <v>44.35</v>
      </c>
      <c r="P114" s="73">
        <v>42.733333333333334</v>
      </c>
      <c r="Q114" s="73">
        <v>0.71666666666666667</v>
      </c>
      <c r="R114" s="74">
        <v>1.6666666666666666E-2</v>
      </c>
      <c r="S114" s="112">
        <v>21.45</v>
      </c>
      <c r="T114" s="73">
        <v>1.4</v>
      </c>
      <c r="U114" s="58"/>
      <c r="V114" s="59"/>
      <c r="W114" s="59"/>
      <c r="X114" s="59"/>
    </row>
    <row r="115" spans="1:25" s="57" customFormat="1" ht="22.5" customHeight="1">
      <c r="A115" s="71">
        <v>96</v>
      </c>
      <c r="B115" s="190" t="s">
        <v>93</v>
      </c>
      <c r="C115" s="191"/>
      <c r="D115" s="75">
        <v>250</v>
      </c>
      <c r="E115" s="73">
        <v>15.3</v>
      </c>
      <c r="F115" s="73">
        <v>2.6</v>
      </c>
      <c r="G115" s="73">
        <v>6.13</v>
      </c>
      <c r="H115" s="73">
        <v>17.03</v>
      </c>
      <c r="I115" s="73">
        <v>133.69</v>
      </c>
      <c r="J115" s="75">
        <v>0.12</v>
      </c>
      <c r="K115" s="75">
        <v>7.3999999999999996E-2</v>
      </c>
      <c r="L115" s="73">
        <v>16</v>
      </c>
      <c r="M115" s="74">
        <v>0.04</v>
      </c>
      <c r="N115" s="73">
        <v>0</v>
      </c>
      <c r="O115" s="73">
        <v>25.3</v>
      </c>
      <c r="P115" s="73">
        <v>71.099999999999994</v>
      </c>
      <c r="Q115" s="73">
        <v>0.38</v>
      </c>
      <c r="R115" s="74">
        <v>3.0000000000000001E-3</v>
      </c>
      <c r="S115" s="73">
        <v>26.7</v>
      </c>
      <c r="T115" s="73">
        <v>0.95</v>
      </c>
      <c r="U115" s="58"/>
      <c r="V115" s="59"/>
      <c r="W115" s="59"/>
      <c r="X115" s="59"/>
    </row>
    <row r="116" spans="1:25" s="57" customFormat="1" ht="12.75" customHeight="1">
      <c r="A116" s="71">
        <v>259</v>
      </c>
      <c r="B116" s="190" t="s">
        <v>45</v>
      </c>
      <c r="C116" s="191"/>
      <c r="D116" s="72">
        <v>220</v>
      </c>
      <c r="E116" s="73">
        <v>55.86</v>
      </c>
      <c r="F116" s="73">
        <v>15.69</v>
      </c>
      <c r="G116" s="73">
        <v>16.510000000000002</v>
      </c>
      <c r="H116" s="73">
        <v>28.06</v>
      </c>
      <c r="I116" s="73">
        <v>323.63</v>
      </c>
      <c r="J116" s="73">
        <v>0.24</v>
      </c>
      <c r="K116" s="73">
        <v>0.22</v>
      </c>
      <c r="L116" s="73">
        <v>34.43</v>
      </c>
      <c r="M116" s="74">
        <v>0.06</v>
      </c>
      <c r="N116" s="75">
        <v>0.38</v>
      </c>
      <c r="O116" s="73">
        <v>46.42</v>
      </c>
      <c r="P116" s="112">
        <v>239.99</v>
      </c>
      <c r="Q116" s="112">
        <v>3.85</v>
      </c>
      <c r="R116" s="74">
        <v>2E-3</v>
      </c>
      <c r="S116" s="73">
        <v>61.45</v>
      </c>
      <c r="T116" s="73">
        <v>3.65</v>
      </c>
      <c r="U116" s="58"/>
      <c r="V116" s="59"/>
      <c r="W116" s="59"/>
      <c r="X116" s="59"/>
    </row>
    <row r="117" spans="1:25" s="65" customFormat="1" ht="14.25" customHeight="1">
      <c r="A117" s="133">
        <v>699</v>
      </c>
      <c r="B117" s="230" t="s">
        <v>74</v>
      </c>
      <c r="C117" s="231"/>
      <c r="D117" s="134">
        <v>200</v>
      </c>
      <c r="E117" s="135">
        <v>6.4</v>
      </c>
      <c r="F117" s="135">
        <v>0.1</v>
      </c>
      <c r="G117" s="136">
        <v>0</v>
      </c>
      <c r="H117" s="137">
        <v>15.7</v>
      </c>
      <c r="I117" s="135">
        <v>63.2</v>
      </c>
      <c r="J117" s="136">
        <v>1.7999999999999999E-2</v>
      </c>
      <c r="K117" s="136">
        <v>1.2E-2</v>
      </c>
      <c r="L117" s="137">
        <v>8</v>
      </c>
      <c r="M117" s="136">
        <v>0</v>
      </c>
      <c r="N117" s="135">
        <v>0.2</v>
      </c>
      <c r="O117" s="135">
        <v>10.8</v>
      </c>
      <c r="P117" s="135">
        <v>1.7</v>
      </c>
      <c r="Q117" s="135">
        <v>0</v>
      </c>
      <c r="R117" s="138">
        <v>0</v>
      </c>
      <c r="S117" s="135">
        <v>5.8</v>
      </c>
      <c r="T117" s="135">
        <v>1.6</v>
      </c>
    </row>
    <row r="118" spans="1:25" s="57" customFormat="1" ht="11.25" customHeight="1">
      <c r="A118" s="100" t="s">
        <v>57</v>
      </c>
      <c r="B118" s="190" t="s">
        <v>87</v>
      </c>
      <c r="C118" s="191"/>
      <c r="D118" s="72">
        <v>20</v>
      </c>
      <c r="E118" s="73">
        <v>6.08</v>
      </c>
      <c r="F118" s="73">
        <v>0.25</v>
      </c>
      <c r="G118" s="74">
        <v>0.03</v>
      </c>
      <c r="H118" s="74">
        <v>5.23</v>
      </c>
      <c r="I118" s="74">
        <v>48</v>
      </c>
      <c r="J118" s="74">
        <f>0.02*D118/30</f>
        <v>1.3333333333333334E-2</v>
      </c>
      <c r="K118" s="74">
        <f>0.01*D118/30</f>
        <v>6.6666666666666671E-3</v>
      </c>
      <c r="L118" s="74">
        <f>0.44*D118/30</f>
        <v>0.29333333333333333</v>
      </c>
      <c r="M118" s="74">
        <v>0</v>
      </c>
      <c r="N118" s="74">
        <f>0.7*D118/30</f>
        <v>0.46666666666666667</v>
      </c>
      <c r="O118" s="74">
        <f>4*D118/30</f>
        <v>2.6666666666666665</v>
      </c>
      <c r="P118" s="74">
        <f>13*D118/30</f>
        <v>8.6666666666666661</v>
      </c>
      <c r="Q118" s="74">
        <f>0.008*D118/30</f>
        <v>5.3333333333333332E-3</v>
      </c>
      <c r="R118" s="74">
        <f>0.001*D118/30</f>
        <v>6.6666666666666664E-4</v>
      </c>
      <c r="S118" s="74">
        <v>0</v>
      </c>
      <c r="T118" s="74">
        <f>0.22*D118/30</f>
        <v>0.14666666666666667</v>
      </c>
      <c r="U118" s="58"/>
      <c r="V118" s="59"/>
      <c r="W118" s="59"/>
      <c r="X118" s="59"/>
    </row>
    <row r="119" spans="1:25" s="57" customFormat="1" ht="11.25" customHeight="1">
      <c r="A119" s="111" t="s">
        <v>57</v>
      </c>
      <c r="B119" s="190" t="s">
        <v>42</v>
      </c>
      <c r="C119" s="191"/>
      <c r="D119" s="72">
        <v>40</v>
      </c>
      <c r="E119" s="73">
        <v>2.56</v>
      </c>
      <c r="F119" s="73">
        <f>2.64*D119/40</f>
        <v>2.64</v>
      </c>
      <c r="G119" s="73">
        <f>0.48*D119/40</f>
        <v>0.48</v>
      </c>
      <c r="H119" s="73">
        <f>13.68*D119/40</f>
        <v>13.680000000000001</v>
      </c>
      <c r="I119" s="112">
        <f>F119*4+G119*9+H119*4</f>
        <v>69.600000000000009</v>
      </c>
      <c r="J119" s="75">
        <f>0.08*D119/40</f>
        <v>0.08</v>
      </c>
      <c r="K119" s="73">
        <f>0.04*D119/40</f>
        <v>0.04</v>
      </c>
      <c r="L119" s="72">
        <v>0</v>
      </c>
      <c r="M119" s="72">
        <v>0</v>
      </c>
      <c r="N119" s="73">
        <f>2.4*D119/40</f>
        <v>2.4</v>
      </c>
      <c r="O119" s="73">
        <f>14*D119/40</f>
        <v>14</v>
      </c>
      <c r="P119" s="73">
        <f>63.2*D119/40</f>
        <v>63.2</v>
      </c>
      <c r="Q119" s="73">
        <f>1.2*D119/40</f>
        <v>1.2</v>
      </c>
      <c r="R119" s="74">
        <f>0.001*D119/40</f>
        <v>1E-3</v>
      </c>
      <c r="S119" s="73">
        <f>9.4*D119/40</f>
        <v>9.4</v>
      </c>
      <c r="T119" s="75">
        <f>0.78*D119/40</f>
        <v>0.78</v>
      </c>
      <c r="U119" s="60"/>
      <c r="V119" s="61"/>
      <c r="W119" s="61"/>
      <c r="X119" s="61"/>
    </row>
    <row r="120" spans="1:25" s="57" customFormat="1" ht="11.25" customHeight="1">
      <c r="A120" s="100" t="s">
        <v>57</v>
      </c>
      <c r="B120" s="190" t="s">
        <v>46</v>
      </c>
      <c r="C120" s="191"/>
      <c r="D120" s="72">
        <v>30</v>
      </c>
      <c r="E120" s="73">
        <v>2.85</v>
      </c>
      <c r="F120" s="73">
        <f>1.52*D120/30</f>
        <v>1.52</v>
      </c>
      <c r="G120" s="74">
        <f>0.16*D120/30</f>
        <v>0.16</v>
      </c>
      <c r="H120" s="74">
        <f>9.84*D120/30</f>
        <v>9.84</v>
      </c>
      <c r="I120" s="74">
        <f>F120*4+G120*9+H120*4</f>
        <v>46.879999999999995</v>
      </c>
      <c r="J120" s="74">
        <f>0.02*D120/30</f>
        <v>0.02</v>
      </c>
      <c r="K120" s="74">
        <f>0.01*D120/30</f>
        <v>0.01</v>
      </c>
      <c r="L120" s="74">
        <f>0.44*D120/30</f>
        <v>0.44</v>
      </c>
      <c r="M120" s="74">
        <v>0</v>
      </c>
      <c r="N120" s="74">
        <f>0.7*D120/30</f>
        <v>0.7</v>
      </c>
      <c r="O120" s="74">
        <f>4*D120/30</f>
        <v>4</v>
      </c>
      <c r="P120" s="74">
        <f>13*D120/30</f>
        <v>13</v>
      </c>
      <c r="Q120" s="74">
        <f>0.008*D120/30</f>
        <v>8.0000000000000002E-3</v>
      </c>
      <c r="R120" s="74">
        <f>0.001*D120/30</f>
        <v>1E-3</v>
      </c>
      <c r="S120" s="74">
        <v>0</v>
      </c>
      <c r="T120" s="74">
        <f>0.22*D120/30</f>
        <v>0.22</v>
      </c>
      <c r="U120" s="58"/>
      <c r="V120" s="59"/>
      <c r="W120" s="59"/>
      <c r="X120" s="59"/>
    </row>
    <row r="121" spans="1:25" s="1" customFormat="1" ht="11.25" customHeight="1">
      <c r="A121" s="141" t="s">
        <v>25</v>
      </c>
      <c r="B121" s="141"/>
      <c r="C121" s="141"/>
      <c r="D121" s="103">
        <f t="shared" ref="D121:I121" si="28">SUM(D114:D120)</f>
        <v>860</v>
      </c>
      <c r="E121" s="104">
        <f t="shared" si="28"/>
        <v>98</v>
      </c>
      <c r="F121" s="113">
        <f t="shared" si="28"/>
        <v>24.233333333333334</v>
      </c>
      <c r="G121" s="113">
        <f t="shared" si="28"/>
        <v>28.393333333333338</v>
      </c>
      <c r="H121" s="113">
        <f t="shared" si="28"/>
        <v>98.090000000000018</v>
      </c>
      <c r="I121" s="114">
        <f t="shared" si="28"/>
        <v>770.68333333333339</v>
      </c>
      <c r="J121" s="113">
        <f t="shared" ref="J121:S121" si="29">SUM(J114:J120)</f>
        <v>0.50800000000000001</v>
      </c>
      <c r="K121" s="113">
        <f t="shared" si="29"/>
        <v>0.39600000000000002</v>
      </c>
      <c r="L121" s="113">
        <f t="shared" si="29"/>
        <v>68.663333333333341</v>
      </c>
      <c r="M121" s="113">
        <f t="shared" si="29"/>
        <v>0.11666666666666667</v>
      </c>
      <c r="N121" s="113">
        <f t="shared" si="29"/>
        <v>4.3133333333333335</v>
      </c>
      <c r="O121" s="113">
        <f t="shared" si="29"/>
        <v>147.53666666666666</v>
      </c>
      <c r="P121" s="113">
        <f t="shared" si="29"/>
        <v>440.39</v>
      </c>
      <c r="Q121" s="113">
        <f t="shared" si="29"/>
        <v>6.160000000000001</v>
      </c>
      <c r="R121" s="116">
        <f t="shared" si="29"/>
        <v>2.4333333333333335E-2</v>
      </c>
      <c r="S121" s="113">
        <f t="shared" si="29"/>
        <v>124.8</v>
      </c>
      <c r="T121" s="113">
        <f>SUM(T114:T120)</f>
        <v>8.7466666666666661</v>
      </c>
      <c r="U121" s="23"/>
      <c r="V121" s="24"/>
      <c r="W121" s="24"/>
      <c r="X121" s="24"/>
    </row>
    <row r="122" spans="1:25" s="1" customFormat="1" ht="11.25" customHeight="1">
      <c r="A122" s="220" t="s">
        <v>54</v>
      </c>
      <c r="B122" s="221"/>
      <c r="C122" s="221"/>
      <c r="D122" s="222"/>
      <c r="E122" s="156">
        <f>98-E121</f>
        <v>0</v>
      </c>
      <c r="F122" s="155">
        <f t="shared" ref="F122:T122" si="30">F121/F129</f>
        <v>0.26925925925925925</v>
      </c>
      <c r="G122" s="149">
        <f t="shared" si="30"/>
        <v>0.30862318840579717</v>
      </c>
      <c r="H122" s="149">
        <f t="shared" si="30"/>
        <v>0.25610966057441259</v>
      </c>
      <c r="I122" s="149">
        <f t="shared" si="30"/>
        <v>0.28333946078431377</v>
      </c>
      <c r="J122" s="149">
        <f t="shared" si="30"/>
        <v>0.36285714285714288</v>
      </c>
      <c r="K122" s="149">
        <f t="shared" si="30"/>
        <v>0.2475</v>
      </c>
      <c r="L122" s="149">
        <f t="shared" si="30"/>
        <v>0.98090476190476206</v>
      </c>
      <c r="M122" s="149">
        <f t="shared" si="30"/>
        <v>0.12962962962962962</v>
      </c>
      <c r="N122" s="149">
        <f t="shared" si="30"/>
        <v>0.35944444444444446</v>
      </c>
      <c r="O122" s="149">
        <f t="shared" si="30"/>
        <v>0.12294722222222222</v>
      </c>
      <c r="P122" s="149">
        <f t="shared" si="30"/>
        <v>0.36699166666666666</v>
      </c>
      <c r="Q122" s="149">
        <f t="shared" si="30"/>
        <v>0.44000000000000006</v>
      </c>
      <c r="R122" s="149">
        <f t="shared" si="30"/>
        <v>0.24333333333333335</v>
      </c>
      <c r="S122" s="149">
        <f t="shared" si="30"/>
        <v>0.41599999999999998</v>
      </c>
      <c r="T122" s="149">
        <f t="shared" si="30"/>
        <v>0.48592592592592587</v>
      </c>
      <c r="U122" s="28"/>
      <c r="V122" s="24"/>
      <c r="W122" s="24"/>
      <c r="X122" s="24"/>
      <c r="Y122" s="43"/>
    </row>
    <row r="123" spans="1:25" s="1" customFormat="1" ht="11.25" customHeight="1">
      <c r="A123" s="240" t="s">
        <v>26</v>
      </c>
      <c r="B123" s="240"/>
      <c r="C123" s="240"/>
      <c r="D123" s="240"/>
      <c r="E123" s="240"/>
      <c r="F123" s="240"/>
      <c r="G123" s="240"/>
      <c r="H123" s="240"/>
      <c r="I123" s="240"/>
      <c r="J123" s="240"/>
      <c r="K123" s="240"/>
      <c r="L123" s="240"/>
      <c r="M123" s="240"/>
      <c r="N123" s="240"/>
      <c r="O123" s="240"/>
      <c r="P123" s="240"/>
      <c r="Q123" s="240"/>
      <c r="R123" s="240"/>
      <c r="S123" s="240"/>
      <c r="T123" s="240"/>
      <c r="U123" s="6"/>
      <c r="V123" s="19"/>
      <c r="W123" s="19"/>
      <c r="X123" s="19"/>
    </row>
    <row r="124" spans="1:25" s="42" customFormat="1" ht="12" customHeight="1">
      <c r="A124" s="117"/>
      <c r="B124" s="201"/>
      <c r="C124" s="201"/>
      <c r="D124" s="118"/>
      <c r="E124" s="119"/>
      <c r="F124" s="119"/>
      <c r="G124" s="122"/>
      <c r="H124" s="122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</row>
    <row r="125" spans="1:25" s="42" customFormat="1" ht="13.5" customHeight="1">
      <c r="A125" s="123"/>
      <c r="B125" s="223"/>
      <c r="C125" s="223"/>
      <c r="D125" s="109"/>
      <c r="E125" s="110"/>
      <c r="F125" s="110"/>
      <c r="G125" s="110"/>
      <c r="H125" s="110"/>
      <c r="I125" s="110"/>
      <c r="J125" s="110"/>
      <c r="K125" s="110"/>
      <c r="L125" s="110"/>
      <c r="M125" s="110"/>
      <c r="N125" s="110"/>
      <c r="O125" s="110"/>
      <c r="P125" s="110"/>
      <c r="Q125" s="110"/>
      <c r="R125" s="110"/>
      <c r="S125" s="110"/>
      <c r="T125" s="110"/>
    </row>
    <row r="126" spans="1:25" s="1" customFormat="1" ht="11.25" customHeight="1">
      <c r="A126" s="101" t="s">
        <v>27</v>
      </c>
      <c r="B126" s="102"/>
      <c r="C126" s="102"/>
      <c r="D126" s="103">
        <f t="shared" ref="D126:T126" si="31">SUM(D124:D125)</f>
        <v>0</v>
      </c>
      <c r="E126" s="104">
        <f t="shared" si="31"/>
        <v>0</v>
      </c>
      <c r="F126" s="104">
        <f t="shared" si="31"/>
        <v>0</v>
      </c>
      <c r="G126" s="104">
        <f t="shared" si="31"/>
        <v>0</v>
      </c>
      <c r="H126" s="104">
        <f t="shared" si="31"/>
        <v>0</v>
      </c>
      <c r="I126" s="104">
        <f t="shared" si="31"/>
        <v>0</v>
      </c>
      <c r="J126" s="104">
        <f t="shared" si="31"/>
        <v>0</v>
      </c>
      <c r="K126" s="104">
        <f t="shared" si="31"/>
        <v>0</v>
      </c>
      <c r="L126" s="104">
        <f t="shared" si="31"/>
        <v>0</v>
      </c>
      <c r="M126" s="104">
        <f t="shared" si="31"/>
        <v>0</v>
      </c>
      <c r="N126" s="104">
        <f t="shared" si="31"/>
        <v>0</v>
      </c>
      <c r="O126" s="104">
        <f t="shared" si="31"/>
        <v>0</v>
      </c>
      <c r="P126" s="104">
        <f t="shared" si="31"/>
        <v>0</v>
      </c>
      <c r="Q126" s="104">
        <f t="shared" si="31"/>
        <v>0</v>
      </c>
      <c r="R126" s="104">
        <f t="shared" si="31"/>
        <v>0</v>
      </c>
      <c r="S126" s="104">
        <f t="shared" si="31"/>
        <v>0</v>
      </c>
      <c r="T126" s="104">
        <f t="shared" si="31"/>
        <v>0</v>
      </c>
      <c r="U126" s="23"/>
      <c r="V126" s="24"/>
      <c r="W126" s="24"/>
      <c r="X126" s="24"/>
    </row>
    <row r="127" spans="1:25" s="1" customFormat="1" ht="11.25" customHeight="1">
      <c r="A127" s="220" t="s">
        <v>54</v>
      </c>
      <c r="B127" s="221"/>
      <c r="C127" s="221"/>
      <c r="D127" s="222"/>
      <c r="E127" s="151"/>
      <c r="F127" s="143">
        <f>F126/F129</f>
        <v>0</v>
      </c>
      <c r="G127" s="149">
        <f t="shared" ref="G127:T127" si="32">G126/G129</f>
        <v>0</v>
      </c>
      <c r="H127" s="149">
        <f t="shared" si="32"/>
        <v>0</v>
      </c>
      <c r="I127" s="149">
        <f t="shared" si="32"/>
        <v>0</v>
      </c>
      <c r="J127" s="149">
        <f t="shared" si="32"/>
        <v>0</v>
      </c>
      <c r="K127" s="149">
        <f t="shared" si="32"/>
        <v>0</v>
      </c>
      <c r="L127" s="149">
        <f t="shared" si="32"/>
        <v>0</v>
      </c>
      <c r="M127" s="149">
        <f t="shared" si="32"/>
        <v>0</v>
      </c>
      <c r="N127" s="149">
        <f t="shared" si="32"/>
        <v>0</v>
      </c>
      <c r="O127" s="149">
        <f t="shared" si="32"/>
        <v>0</v>
      </c>
      <c r="P127" s="149">
        <f t="shared" si="32"/>
        <v>0</v>
      </c>
      <c r="Q127" s="149">
        <f t="shared" si="32"/>
        <v>0</v>
      </c>
      <c r="R127" s="149">
        <f t="shared" si="32"/>
        <v>0</v>
      </c>
      <c r="S127" s="149">
        <f t="shared" si="32"/>
        <v>0</v>
      </c>
      <c r="T127" s="149">
        <f t="shared" si="32"/>
        <v>0</v>
      </c>
      <c r="U127" s="28"/>
      <c r="V127" s="24"/>
      <c r="W127" s="24"/>
      <c r="X127" s="24"/>
    </row>
    <row r="128" spans="1:25" s="1" customFormat="1" ht="11.25" customHeight="1">
      <c r="A128" s="101" t="s">
        <v>53</v>
      </c>
      <c r="B128" s="102"/>
      <c r="C128" s="102"/>
      <c r="D128" s="125">
        <f>D121+D111</f>
        <v>1420</v>
      </c>
      <c r="E128" s="126">
        <f>E121+E111</f>
        <v>176.3</v>
      </c>
      <c r="F128" s="113">
        <f t="shared" ref="F128:T128" si="33">SUM(F111,F121,F126)</f>
        <v>37.103333333333332</v>
      </c>
      <c r="G128" s="114">
        <f t="shared" si="33"/>
        <v>44.223333333333336</v>
      </c>
      <c r="H128" s="114">
        <f t="shared" si="33"/>
        <v>187.48000000000002</v>
      </c>
      <c r="I128" s="114">
        <f t="shared" si="33"/>
        <v>1429.4433333333334</v>
      </c>
      <c r="J128" s="113">
        <f t="shared" si="33"/>
        <v>0.72799999999999998</v>
      </c>
      <c r="K128" s="113">
        <f t="shared" si="33"/>
        <v>0.626</v>
      </c>
      <c r="L128" s="113">
        <f t="shared" si="33"/>
        <v>94.913333333333341</v>
      </c>
      <c r="M128" s="113">
        <f t="shared" si="33"/>
        <v>0.19366666666666665</v>
      </c>
      <c r="N128" s="113">
        <f t="shared" si="33"/>
        <v>6.0733333333333333</v>
      </c>
      <c r="O128" s="113">
        <f t="shared" si="33"/>
        <v>335.18666666666667</v>
      </c>
      <c r="P128" s="114">
        <f t="shared" si="33"/>
        <v>670.77</v>
      </c>
      <c r="Q128" s="116">
        <f t="shared" si="33"/>
        <v>6.237000000000001</v>
      </c>
      <c r="R128" s="116">
        <f t="shared" si="33"/>
        <v>2.8333333333333335E-2</v>
      </c>
      <c r="S128" s="113">
        <f t="shared" si="33"/>
        <v>205.83999999999997</v>
      </c>
      <c r="T128" s="113">
        <f t="shared" si="33"/>
        <v>15.316666666666666</v>
      </c>
      <c r="U128" s="25"/>
      <c r="V128" s="24"/>
      <c r="W128" s="24"/>
      <c r="X128" s="24"/>
    </row>
    <row r="129" spans="1:24" s="1" customFormat="1" ht="11.25" customHeight="1">
      <c r="A129" s="220" t="s">
        <v>55</v>
      </c>
      <c r="B129" s="221"/>
      <c r="C129" s="221"/>
      <c r="D129" s="222"/>
      <c r="E129" s="127"/>
      <c r="F129" s="73">
        <v>90</v>
      </c>
      <c r="G129" s="112">
        <v>92</v>
      </c>
      <c r="H129" s="112">
        <v>383</v>
      </c>
      <c r="I129" s="112">
        <v>2720</v>
      </c>
      <c r="J129" s="73">
        <v>1.4</v>
      </c>
      <c r="K129" s="73">
        <v>1.6</v>
      </c>
      <c r="L129" s="72">
        <v>70</v>
      </c>
      <c r="M129" s="73">
        <v>0.9</v>
      </c>
      <c r="N129" s="72">
        <v>12</v>
      </c>
      <c r="O129" s="72">
        <v>1200</v>
      </c>
      <c r="P129" s="72">
        <v>1200</v>
      </c>
      <c r="Q129" s="72">
        <v>14</v>
      </c>
      <c r="R129" s="112">
        <v>0.1</v>
      </c>
      <c r="S129" s="72">
        <v>300</v>
      </c>
      <c r="T129" s="73">
        <v>18</v>
      </c>
      <c r="U129" s="34"/>
      <c r="V129" s="35"/>
      <c r="W129" s="35"/>
      <c r="X129" s="35"/>
    </row>
    <row r="130" spans="1:24" s="1" customFormat="1" ht="11.25" customHeight="1">
      <c r="A130" s="220" t="s">
        <v>54</v>
      </c>
      <c r="B130" s="221"/>
      <c r="C130" s="221"/>
      <c r="D130" s="222"/>
      <c r="E130" s="127"/>
      <c r="F130" s="107">
        <f t="shared" ref="F130:T130" si="34">F128/F129</f>
        <v>0.41225925925925921</v>
      </c>
      <c r="G130" s="149">
        <f t="shared" si="34"/>
        <v>0.48068840579710148</v>
      </c>
      <c r="H130" s="108">
        <f t="shared" si="34"/>
        <v>0.4895039164490862</v>
      </c>
      <c r="I130" s="108">
        <f t="shared" si="34"/>
        <v>0.52553063725490201</v>
      </c>
      <c r="J130" s="108">
        <f t="shared" si="34"/>
        <v>0.52</v>
      </c>
      <c r="K130" s="108">
        <f t="shared" si="34"/>
        <v>0.39124999999999999</v>
      </c>
      <c r="L130" s="108">
        <f t="shared" si="34"/>
        <v>1.3559047619047619</v>
      </c>
      <c r="M130" s="128">
        <f t="shared" si="34"/>
        <v>0.21518518518518517</v>
      </c>
      <c r="N130" s="108">
        <f t="shared" si="34"/>
        <v>0.50611111111111107</v>
      </c>
      <c r="O130" s="108">
        <f t="shared" si="34"/>
        <v>0.27932222222222225</v>
      </c>
      <c r="P130" s="108">
        <f t="shared" si="34"/>
        <v>0.558975</v>
      </c>
      <c r="Q130" s="108">
        <f t="shared" si="34"/>
        <v>0.44550000000000006</v>
      </c>
      <c r="R130" s="108">
        <f>R128/R129</f>
        <v>0.28333333333333333</v>
      </c>
      <c r="S130" s="108">
        <f t="shared" si="34"/>
        <v>0.68613333333333326</v>
      </c>
      <c r="T130" s="128">
        <f t="shared" si="34"/>
        <v>0.85092592592592586</v>
      </c>
      <c r="U130" s="26"/>
      <c r="V130" s="27"/>
      <c r="W130" s="27"/>
      <c r="X130" s="27"/>
    </row>
    <row r="131" spans="1:24" s="1" customFormat="1" ht="11.25" customHeight="1">
      <c r="A131" s="88"/>
      <c r="B131" s="88"/>
      <c r="C131" s="129"/>
      <c r="D131" s="129"/>
      <c r="E131" s="129"/>
      <c r="F131" s="83"/>
      <c r="G131" s="84"/>
      <c r="H131" s="82"/>
      <c r="I131" s="82"/>
      <c r="J131" s="84"/>
      <c r="K131" s="84"/>
      <c r="L131" s="84"/>
      <c r="M131" s="229" t="s">
        <v>56</v>
      </c>
      <c r="N131" s="229"/>
      <c r="O131" s="229"/>
      <c r="P131" s="229"/>
      <c r="Q131" s="229"/>
      <c r="R131" s="229"/>
      <c r="S131" s="229"/>
      <c r="T131" s="229"/>
      <c r="U131" s="7"/>
      <c r="V131" s="14"/>
      <c r="W131" s="14"/>
      <c r="X131" s="14"/>
    </row>
    <row r="132" spans="1:24" s="1" customFormat="1" ht="11.25" customHeight="1">
      <c r="A132" s="88"/>
      <c r="B132" s="88"/>
      <c r="C132" s="129"/>
      <c r="D132" s="129"/>
      <c r="E132" s="129"/>
      <c r="F132" s="83"/>
      <c r="G132" s="84"/>
      <c r="H132" s="82"/>
      <c r="I132" s="82"/>
      <c r="J132" s="84"/>
      <c r="K132" s="84"/>
      <c r="L132" s="84"/>
      <c r="M132" s="86"/>
      <c r="N132" s="86"/>
      <c r="O132" s="86"/>
      <c r="P132" s="86"/>
      <c r="Q132" s="86"/>
      <c r="R132" s="86"/>
      <c r="S132" s="86"/>
      <c r="T132" s="86"/>
      <c r="U132" s="7"/>
      <c r="V132" s="14"/>
      <c r="W132" s="14"/>
      <c r="X132" s="14"/>
    </row>
    <row r="133" spans="1:24" s="1" customFormat="1" ht="11.25" customHeight="1">
      <c r="A133" s="208" t="s">
        <v>34</v>
      </c>
      <c r="B133" s="208"/>
      <c r="C133" s="208"/>
      <c r="D133" s="208"/>
      <c r="E133" s="208"/>
      <c r="F133" s="208"/>
      <c r="G133" s="208"/>
      <c r="H133" s="208"/>
      <c r="I133" s="208"/>
      <c r="J133" s="208"/>
      <c r="K133" s="208"/>
      <c r="L133" s="208"/>
      <c r="M133" s="208"/>
      <c r="N133" s="208"/>
      <c r="O133" s="208"/>
      <c r="P133" s="208"/>
      <c r="Q133" s="208"/>
      <c r="R133" s="208"/>
      <c r="S133" s="208"/>
      <c r="T133" s="208"/>
      <c r="U133" s="8"/>
      <c r="V133" s="20"/>
      <c r="W133" s="20"/>
      <c r="X133" s="20"/>
    </row>
    <row r="134" spans="1:24" s="1" customFormat="1" ht="11.25" customHeight="1">
      <c r="A134" s="87" t="s">
        <v>47</v>
      </c>
      <c r="B134" s="88"/>
      <c r="C134" s="88"/>
      <c r="D134" s="82"/>
      <c r="E134" s="82"/>
      <c r="F134" s="85"/>
      <c r="G134" s="189" t="s">
        <v>35</v>
      </c>
      <c r="H134" s="189"/>
      <c r="I134" s="189"/>
      <c r="J134" s="84"/>
      <c r="K134" s="84"/>
      <c r="L134" s="207" t="s">
        <v>1</v>
      </c>
      <c r="M134" s="207"/>
      <c r="N134" s="188" t="str">
        <f>N101</f>
        <v>осенне-зимний</v>
      </c>
      <c r="O134" s="188"/>
      <c r="P134" s="188"/>
      <c r="Q134" s="188"/>
      <c r="R134" s="84"/>
      <c r="S134" s="84"/>
      <c r="T134" s="84"/>
      <c r="U134" s="9"/>
      <c r="V134" s="15"/>
      <c r="W134" s="15"/>
      <c r="X134" s="15"/>
    </row>
    <row r="135" spans="1:24" s="1" customFormat="1" ht="11.25" customHeight="1">
      <c r="A135" s="88"/>
      <c r="B135" s="88"/>
      <c r="C135" s="88"/>
      <c r="D135" s="206" t="s">
        <v>2</v>
      </c>
      <c r="E135" s="206"/>
      <c r="F135" s="206"/>
      <c r="G135" s="89">
        <v>1</v>
      </c>
      <c r="H135" s="84"/>
      <c r="I135" s="82"/>
      <c r="J135" s="82"/>
      <c r="K135" s="82"/>
      <c r="L135" s="206" t="s">
        <v>3</v>
      </c>
      <c r="M135" s="206"/>
      <c r="N135" s="189" t="str">
        <f>N102</f>
        <v>с 7-11 лет</v>
      </c>
      <c r="O135" s="189"/>
      <c r="P135" s="189"/>
      <c r="Q135" s="189"/>
      <c r="R135" s="189"/>
      <c r="S135" s="189"/>
      <c r="T135" s="189"/>
      <c r="U135" s="10"/>
      <c r="V135" s="16"/>
      <c r="W135" s="16"/>
      <c r="X135" s="16"/>
    </row>
    <row r="136" spans="1:24" s="1" customFormat="1" ht="21.75" customHeight="1">
      <c r="A136" s="199" t="s">
        <v>4</v>
      </c>
      <c r="B136" s="195" t="s">
        <v>5</v>
      </c>
      <c r="C136" s="196"/>
      <c r="D136" s="199" t="s">
        <v>6</v>
      </c>
      <c r="E136" s="90"/>
      <c r="F136" s="202" t="s">
        <v>7</v>
      </c>
      <c r="G136" s="203"/>
      <c r="H136" s="204"/>
      <c r="I136" s="199" t="s">
        <v>8</v>
      </c>
      <c r="J136" s="202" t="s">
        <v>9</v>
      </c>
      <c r="K136" s="203"/>
      <c r="L136" s="203"/>
      <c r="M136" s="203"/>
      <c r="N136" s="204"/>
      <c r="O136" s="202" t="s">
        <v>10</v>
      </c>
      <c r="P136" s="203"/>
      <c r="Q136" s="203"/>
      <c r="R136" s="203"/>
      <c r="S136" s="203"/>
      <c r="T136" s="204"/>
      <c r="U136" s="4"/>
      <c r="V136" s="17"/>
      <c r="W136" s="17"/>
      <c r="X136" s="17"/>
    </row>
    <row r="137" spans="1:24" s="1" customFormat="1" ht="21" customHeight="1">
      <c r="A137" s="200"/>
      <c r="B137" s="197"/>
      <c r="C137" s="198"/>
      <c r="D137" s="200"/>
      <c r="E137" s="91"/>
      <c r="F137" s="92" t="s">
        <v>11</v>
      </c>
      <c r="G137" s="93" t="s">
        <v>12</v>
      </c>
      <c r="H137" s="93" t="s">
        <v>13</v>
      </c>
      <c r="I137" s="200"/>
      <c r="J137" s="93" t="s">
        <v>14</v>
      </c>
      <c r="K137" s="93" t="s">
        <v>49</v>
      </c>
      <c r="L137" s="93" t="s">
        <v>15</v>
      </c>
      <c r="M137" s="93" t="s">
        <v>16</v>
      </c>
      <c r="N137" s="93" t="s">
        <v>17</v>
      </c>
      <c r="O137" s="93" t="s">
        <v>18</v>
      </c>
      <c r="P137" s="93" t="s">
        <v>19</v>
      </c>
      <c r="Q137" s="93" t="s">
        <v>50</v>
      </c>
      <c r="R137" s="93" t="s">
        <v>51</v>
      </c>
      <c r="S137" s="93" t="s">
        <v>20</v>
      </c>
      <c r="T137" s="93" t="s">
        <v>21</v>
      </c>
      <c r="U137" s="4"/>
      <c r="V137" s="17"/>
      <c r="W137" s="17"/>
      <c r="X137" s="17"/>
    </row>
    <row r="138" spans="1:24" s="1" customFormat="1" ht="11.25" customHeight="1">
      <c r="A138" s="71">
        <v>1</v>
      </c>
      <c r="B138" s="212">
        <v>2</v>
      </c>
      <c r="C138" s="213"/>
      <c r="D138" s="94">
        <v>3</v>
      </c>
      <c r="E138" s="94"/>
      <c r="F138" s="95">
        <v>4</v>
      </c>
      <c r="G138" s="94">
        <v>5</v>
      </c>
      <c r="H138" s="94">
        <v>6</v>
      </c>
      <c r="I138" s="94">
        <v>7</v>
      </c>
      <c r="J138" s="94">
        <v>8</v>
      </c>
      <c r="K138" s="94">
        <v>9</v>
      </c>
      <c r="L138" s="94">
        <v>10</v>
      </c>
      <c r="M138" s="94">
        <v>11</v>
      </c>
      <c r="N138" s="94">
        <v>12</v>
      </c>
      <c r="O138" s="94">
        <v>13</v>
      </c>
      <c r="P138" s="94">
        <v>14</v>
      </c>
      <c r="Q138" s="94">
        <v>15</v>
      </c>
      <c r="R138" s="94">
        <v>16</v>
      </c>
      <c r="S138" s="94">
        <v>17</v>
      </c>
      <c r="T138" s="94">
        <v>18</v>
      </c>
      <c r="U138" s="5"/>
      <c r="V138" s="18"/>
      <c r="W138" s="18"/>
      <c r="X138" s="18"/>
    </row>
    <row r="139" spans="1:24" s="1" customFormat="1" ht="11.25" customHeight="1">
      <c r="A139" s="192" t="s">
        <v>75</v>
      </c>
      <c r="B139" s="193"/>
      <c r="C139" s="193"/>
      <c r="D139" s="193"/>
      <c r="E139" s="193"/>
      <c r="F139" s="193"/>
      <c r="G139" s="193"/>
      <c r="H139" s="193"/>
      <c r="I139" s="193"/>
      <c r="J139" s="193"/>
      <c r="K139" s="193"/>
      <c r="L139" s="193"/>
      <c r="M139" s="193"/>
      <c r="N139" s="193"/>
      <c r="O139" s="193"/>
      <c r="P139" s="193"/>
      <c r="Q139" s="193"/>
      <c r="R139" s="193"/>
      <c r="S139" s="193"/>
      <c r="T139" s="194"/>
      <c r="U139" s="6"/>
      <c r="V139" s="19"/>
      <c r="W139" s="19"/>
      <c r="X139" s="19"/>
    </row>
    <row r="140" spans="1:24" s="49" customFormat="1" ht="24.75" customHeight="1">
      <c r="A140" s="96" t="s">
        <v>57</v>
      </c>
      <c r="B140" s="190" t="s">
        <v>91</v>
      </c>
      <c r="C140" s="191"/>
      <c r="D140" s="97">
        <v>170</v>
      </c>
      <c r="E140" s="97">
        <v>27.18</v>
      </c>
      <c r="F140" s="98">
        <v>1.5</v>
      </c>
      <c r="G140" s="98">
        <v>0.5</v>
      </c>
      <c r="H140" s="98">
        <v>21</v>
      </c>
      <c r="I140" s="98">
        <v>94.5</v>
      </c>
      <c r="J140" s="99">
        <v>0.04</v>
      </c>
      <c r="K140" s="98">
        <v>0.05</v>
      </c>
      <c r="L140" s="157">
        <v>10</v>
      </c>
      <c r="M140" s="99">
        <v>0.02</v>
      </c>
      <c r="N140" s="97">
        <v>0.4</v>
      </c>
      <c r="O140" s="98">
        <v>8</v>
      </c>
      <c r="P140" s="98">
        <v>28</v>
      </c>
      <c r="Q140" s="99">
        <v>0.15</v>
      </c>
      <c r="R140" s="99">
        <v>0</v>
      </c>
      <c r="S140" s="98">
        <v>42</v>
      </c>
      <c r="T140" s="98">
        <v>0</v>
      </c>
      <c r="U140" s="50"/>
      <c r="V140" s="51"/>
      <c r="W140" s="51"/>
      <c r="X140" s="51"/>
    </row>
    <row r="141" spans="1:24" s="57" customFormat="1" ht="12" customHeight="1">
      <c r="A141" s="71">
        <v>206</v>
      </c>
      <c r="B141" s="190" t="s">
        <v>105</v>
      </c>
      <c r="C141" s="191"/>
      <c r="D141" s="72">
        <v>200</v>
      </c>
      <c r="E141" s="73">
        <v>32.479999999999997</v>
      </c>
      <c r="F141" s="73">
        <v>11.17</v>
      </c>
      <c r="G141" s="73">
        <v>10.28</v>
      </c>
      <c r="H141" s="73">
        <v>31.78</v>
      </c>
      <c r="I141" s="73">
        <v>264</v>
      </c>
      <c r="J141" s="73">
        <v>0.108</v>
      </c>
      <c r="K141" s="73">
        <v>3.5999999999999997E-2</v>
      </c>
      <c r="L141" s="73">
        <v>0.14000000000000001</v>
      </c>
      <c r="M141" s="73">
        <v>3.5999999999999997E-2</v>
      </c>
      <c r="N141" s="75">
        <v>1.5</v>
      </c>
      <c r="O141" s="73">
        <v>15.93</v>
      </c>
      <c r="P141" s="73">
        <v>55.45</v>
      </c>
      <c r="Q141" s="72">
        <v>0.93</v>
      </c>
      <c r="R141" s="72">
        <v>2E-3</v>
      </c>
      <c r="S141" s="73">
        <v>10.164</v>
      </c>
      <c r="T141" s="73">
        <v>1.032</v>
      </c>
      <c r="U141" s="58"/>
      <c r="V141" s="59"/>
      <c r="W141" s="59"/>
      <c r="X141" s="59"/>
    </row>
    <row r="142" spans="1:24" s="57" customFormat="1" ht="11.25" customHeight="1">
      <c r="A142" s="100" t="s">
        <v>57</v>
      </c>
      <c r="B142" s="190" t="s">
        <v>102</v>
      </c>
      <c r="C142" s="191"/>
      <c r="D142" s="72">
        <v>30</v>
      </c>
      <c r="E142" s="73">
        <v>3.39</v>
      </c>
      <c r="F142" s="73">
        <f>1.52*D142/30</f>
        <v>1.52</v>
      </c>
      <c r="G142" s="74">
        <f>0.16*D142/30</f>
        <v>0.16</v>
      </c>
      <c r="H142" s="74">
        <f>9.84*D142/30</f>
        <v>9.84</v>
      </c>
      <c r="I142" s="74">
        <f>F142*4+G142*9+H142*4</f>
        <v>46.879999999999995</v>
      </c>
      <c r="J142" s="74">
        <f>0.02*D142/30</f>
        <v>0.02</v>
      </c>
      <c r="K142" s="74">
        <f>0.01*D142/30</f>
        <v>0.01</v>
      </c>
      <c r="L142" s="74">
        <f>0.44*D142/30</f>
        <v>0.44</v>
      </c>
      <c r="M142" s="74">
        <v>0</v>
      </c>
      <c r="N142" s="74">
        <f>0.7*D142/30</f>
        <v>0.7</v>
      </c>
      <c r="O142" s="74">
        <f>4*D142/30</f>
        <v>4</v>
      </c>
      <c r="P142" s="74">
        <f>13*D142/30</f>
        <v>13</v>
      </c>
      <c r="Q142" s="74">
        <f>0.008*D142/30</f>
        <v>8.0000000000000002E-3</v>
      </c>
      <c r="R142" s="74">
        <f>0.001*D142/30</f>
        <v>1E-3</v>
      </c>
      <c r="S142" s="74">
        <v>0</v>
      </c>
      <c r="T142" s="74">
        <f>0.22*D142/30</f>
        <v>0.22</v>
      </c>
      <c r="U142" s="58"/>
      <c r="V142" s="59"/>
      <c r="W142" s="59"/>
      <c r="X142" s="59"/>
    </row>
    <row r="143" spans="1:24" s="57" customFormat="1" ht="12.75" customHeight="1">
      <c r="A143" s="71">
        <v>382</v>
      </c>
      <c r="B143" s="228" t="s">
        <v>114</v>
      </c>
      <c r="C143" s="228"/>
      <c r="D143" s="72">
        <v>200</v>
      </c>
      <c r="E143" s="73">
        <v>15.25</v>
      </c>
      <c r="F143" s="73">
        <v>3.5</v>
      </c>
      <c r="G143" s="73">
        <v>3.7</v>
      </c>
      <c r="H143" s="73">
        <v>25.5</v>
      </c>
      <c r="I143" s="73">
        <v>149.30000000000001</v>
      </c>
      <c r="J143" s="73">
        <v>0.06</v>
      </c>
      <c r="K143" s="73">
        <v>0.01</v>
      </c>
      <c r="L143" s="73">
        <v>2.4</v>
      </c>
      <c r="M143" s="75">
        <v>0.04</v>
      </c>
      <c r="N143" s="73">
        <v>0.4</v>
      </c>
      <c r="O143" s="73">
        <v>102.6</v>
      </c>
      <c r="P143" s="73">
        <v>178</v>
      </c>
      <c r="Q143" s="73">
        <v>1</v>
      </c>
      <c r="R143" s="74">
        <v>0</v>
      </c>
      <c r="S143" s="73">
        <v>24.8</v>
      </c>
      <c r="T143" s="73">
        <v>0.48</v>
      </c>
      <c r="U143" s="58"/>
      <c r="V143" s="59"/>
      <c r="W143" s="59"/>
      <c r="X143" s="59"/>
    </row>
    <row r="144" spans="1:24" s="2" customFormat="1" ht="11.25" customHeight="1">
      <c r="A144" s="101" t="s">
        <v>23</v>
      </c>
      <c r="B144" s="102"/>
      <c r="C144" s="102"/>
      <c r="D144" s="103">
        <f t="shared" ref="D144:T144" si="35">SUM(D140:D143)</f>
        <v>600</v>
      </c>
      <c r="E144" s="104">
        <f t="shared" si="35"/>
        <v>78.3</v>
      </c>
      <c r="F144" s="113">
        <f t="shared" si="35"/>
        <v>17.689999999999998</v>
      </c>
      <c r="G144" s="113">
        <f t="shared" si="35"/>
        <v>14.64</v>
      </c>
      <c r="H144" s="113">
        <f t="shared" si="35"/>
        <v>88.12</v>
      </c>
      <c r="I144" s="113">
        <f t="shared" si="35"/>
        <v>554.68000000000006</v>
      </c>
      <c r="J144" s="113">
        <f t="shared" si="35"/>
        <v>0.22799999999999998</v>
      </c>
      <c r="K144" s="113">
        <f t="shared" si="35"/>
        <v>0.10599999999999998</v>
      </c>
      <c r="L144" s="113">
        <f t="shared" si="35"/>
        <v>12.98</v>
      </c>
      <c r="M144" s="113">
        <f t="shared" si="35"/>
        <v>9.6000000000000002E-2</v>
      </c>
      <c r="N144" s="113">
        <f t="shared" si="35"/>
        <v>2.9999999999999996</v>
      </c>
      <c r="O144" s="113">
        <f t="shared" si="35"/>
        <v>130.53</v>
      </c>
      <c r="P144" s="113">
        <f t="shared" si="35"/>
        <v>274.45</v>
      </c>
      <c r="Q144" s="113">
        <f t="shared" si="35"/>
        <v>2.0880000000000001</v>
      </c>
      <c r="R144" s="113">
        <f t="shared" si="35"/>
        <v>3.0000000000000001E-3</v>
      </c>
      <c r="S144" s="113">
        <f t="shared" si="35"/>
        <v>76.963999999999999</v>
      </c>
      <c r="T144" s="113">
        <f t="shared" si="35"/>
        <v>1.732</v>
      </c>
      <c r="U144" s="23"/>
      <c r="V144" s="24"/>
      <c r="W144" s="24"/>
      <c r="X144" s="24"/>
    </row>
    <row r="145" spans="1:24" s="2" customFormat="1" ht="11.25" customHeight="1">
      <c r="A145" s="185" t="s">
        <v>54</v>
      </c>
      <c r="B145" s="186"/>
      <c r="C145" s="186"/>
      <c r="D145" s="187"/>
      <c r="E145" s="105">
        <f>78.3-E144</f>
        <v>0</v>
      </c>
      <c r="F145" s="106">
        <f t="shared" ref="F145:T145" si="36">F144/F163</f>
        <v>0.19655555555555554</v>
      </c>
      <c r="G145" s="107">
        <f t="shared" si="36"/>
        <v>0.15913043478260872</v>
      </c>
      <c r="H145" s="107">
        <f>H144/H163</f>
        <v>0.23007832898172326</v>
      </c>
      <c r="I145" s="107">
        <f t="shared" si="36"/>
        <v>0.20392647058823532</v>
      </c>
      <c r="J145" s="107">
        <f t="shared" si="36"/>
        <v>0.16285714285714287</v>
      </c>
      <c r="K145" s="107">
        <f t="shared" si="36"/>
        <v>6.6249999999999989E-2</v>
      </c>
      <c r="L145" s="107">
        <f t="shared" si="36"/>
        <v>0.18542857142857144</v>
      </c>
      <c r="M145" s="107">
        <f t="shared" si="36"/>
        <v>0.10666666666666666</v>
      </c>
      <c r="N145" s="107">
        <f t="shared" si="36"/>
        <v>0.24999999999999997</v>
      </c>
      <c r="O145" s="107">
        <f t="shared" si="36"/>
        <v>0.108775</v>
      </c>
      <c r="P145" s="107">
        <f t="shared" si="36"/>
        <v>0.22870833333333332</v>
      </c>
      <c r="Q145" s="107">
        <f t="shared" si="36"/>
        <v>0.14914285714285716</v>
      </c>
      <c r="R145" s="107">
        <f t="shared" si="36"/>
        <v>0.03</v>
      </c>
      <c r="S145" s="107">
        <f t="shared" si="36"/>
        <v>0.25654666666666665</v>
      </c>
      <c r="T145" s="108">
        <f t="shared" si="36"/>
        <v>9.6222222222222223E-2</v>
      </c>
      <c r="U145" s="28"/>
      <c r="V145" s="24"/>
      <c r="W145" s="24"/>
      <c r="X145" s="24"/>
    </row>
    <row r="146" spans="1:24" s="2" customFormat="1" ht="11.25" customHeight="1">
      <c r="A146" s="192" t="s">
        <v>24</v>
      </c>
      <c r="B146" s="193"/>
      <c r="C146" s="193"/>
      <c r="D146" s="193"/>
      <c r="E146" s="193"/>
      <c r="F146" s="193"/>
      <c r="G146" s="193"/>
      <c r="H146" s="193"/>
      <c r="I146" s="193"/>
      <c r="J146" s="193"/>
      <c r="K146" s="193"/>
      <c r="L146" s="193"/>
      <c r="M146" s="193"/>
      <c r="N146" s="193"/>
      <c r="O146" s="193"/>
      <c r="P146" s="193"/>
      <c r="Q146" s="193"/>
      <c r="R146" s="193"/>
      <c r="S146" s="193"/>
      <c r="T146" s="194"/>
      <c r="U146" s="6"/>
      <c r="V146" s="19"/>
      <c r="W146" s="19"/>
      <c r="X146" s="19"/>
    </row>
    <row r="147" spans="1:24" s="49" customFormat="1" ht="11.25" customHeight="1">
      <c r="A147" s="158"/>
      <c r="B147" s="159"/>
      <c r="C147" s="159"/>
      <c r="D147" s="72"/>
      <c r="E147" s="73"/>
      <c r="F147" s="73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47"/>
      <c r="V147" s="48"/>
      <c r="W147" s="48"/>
      <c r="X147" s="48"/>
    </row>
    <row r="148" spans="1:24" s="57" customFormat="1" ht="28.5" customHeight="1">
      <c r="A148" s="96">
        <v>49</v>
      </c>
      <c r="B148" s="190" t="s">
        <v>110</v>
      </c>
      <c r="C148" s="191"/>
      <c r="D148" s="97">
        <v>100</v>
      </c>
      <c r="E148" s="98">
        <v>12.48</v>
      </c>
      <c r="F148" s="98">
        <v>1.5669999999999999</v>
      </c>
      <c r="G148" s="98">
        <v>12.03</v>
      </c>
      <c r="H148" s="98">
        <v>8.7799999999999994</v>
      </c>
      <c r="I148" s="98">
        <v>149.69999999999999</v>
      </c>
      <c r="J148" s="99">
        <v>0.05</v>
      </c>
      <c r="K148" s="98">
        <v>0.05</v>
      </c>
      <c r="L148" s="98">
        <v>20.667000000000002</v>
      </c>
      <c r="M148" s="99">
        <v>2E-3</v>
      </c>
      <c r="N148" s="97">
        <v>2.5</v>
      </c>
      <c r="O148" s="98">
        <v>32.83</v>
      </c>
      <c r="P148" s="98">
        <v>33.85</v>
      </c>
      <c r="Q148" s="99">
        <v>0.5</v>
      </c>
      <c r="R148" s="99">
        <v>2E-3</v>
      </c>
      <c r="S148" s="98">
        <v>16.63</v>
      </c>
      <c r="T148" s="98">
        <v>0.56000000000000005</v>
      </c>
      <c r="U148" s="55"/>
      <c r="V148" s="56"/>
      <c r="W148" s="56"/>
      <c r="X148" s="56"/>
    </row>
    <row r="149" spans="1:24" s="57" customFormat="1" ht="22.5" customHeight="1">
      <c r="A149" s="71">
        <v>82</v>
      </c>
      <c r="B149" s="190" t="s">
        <v>90</v>
      </c>
      <c r="C149" s="191"/>
      <c r="D149" s="75">
        <v>250</v>
      </c>
      <c r="E149" s="75">
        <v>14.62</v>
      </c>
      <c r="F149" s="73">
        <v>2.2130000000000001</v>
      </c>
      <c r="G149" s="73">
        <v>3.31</v>
      </c>
      <c r="H149" s="73">
        <v>15.92</v>
      </c>
      <c r="I149" s="73">
        <v>102.36</v>
      </c>
      <c r="J149" s="75">
        <v>6.3E-2</v>
      </c>
      <c r="K149" s="75">
        <v>6.3E-2</v>
      </c>
      <c r="L149" s="73">
        <v>23.75</v>
      </c>
      <c r="M149" s="74">
        <v>0.92</v>
      </c>
      <c r="N149" s="73">
        <v>0.12</v>
      </c>
      <c r="O149" s="73">
        <v>53.88</v>
      </c>
      <c r="P149" s="73">
        <v>60.94</v>
      </c>
      <c r="Q149" s="73">
        <v>1.62</v>
      </c>
      <c r="R149" s="74">
        <v>4.0000000000000001E-3</v>
      </c>
      <c r="S149" s="73">
        <v>28.05</v>
      </c>
      <c r="T149" s="73">
        <v>1</v>
      </c>
      <c r="U149" s="58"/>
      <c r="V149" s="59"/>
      <c r="W149" s="59"/>
      <c r="X149" s="59"/>
    </row>
    <row r="150" spans="1:24" s="57" customFormat="1" ht="12.75" customHeight="1">
      <c r="A150" s="71">
        <v>293</v>
      </c>
      <c r="B150" s="190" t="s">
        <v>81</v>
      </c>
      <c r="C150" s="191"/>
      <c r="D150" s="72">
        <v>115</v>
      </c>
      <c r="E150" s="73">
        <v>48.11</v>
      </c>
      <c r="F150" s="73">
        <v>24.29</v>
      </c>
      <c r="G150" s="73">
        <v>13.88</v>
      </c>
      <c r="H150" s="73">
        <v>0.21</v>
      </c>
      <c r="I150" s="73">
        <v>223.01</v>
      </c>
      <c r="J150" s="73">
        <v>0.11</v>
      </c>
      <c r="K150" s="73">
        <v>0.24</v>
      </c>
      <c r="L150" s="73">
        <v>2.8000000000000001E-2</v>
      </c>
      <c r="M150" s="72">
        <v>0</v>
      </c>
      <c r="N150" s="75">
        <v>0</v>
      </c>
      <c r="O150" s="112">
        <v>24.86</v>
      </c>
      <c r="P150" s="73">
        <v>2.04</v>
      </c>
      <c r="Q150" s="72">
        <v>0</v>
      </c>
      <c r="R150" s="72">
        <v>0</v>
      </c>
      <c r="S150" s="73">
        <v>21.82</v>
      </c>
      <c r="T150" s="73">
        <v>2.37</v>
      </c>
      <c r="U150" s="58"/>
      <c r="V150" s="59"/>
      <c r="W150" s="59"/>
      <c r="X150" s="59"/>
    </row>
    <row r="151" spans="1:24" s="57" customFormat="1" ht="24" customHeight="1">
      <c r="A151" s="71">
        <v>304</v>
      </c>
      <c r="B151" s="184" t="s">
        <v>69</v>
      </c>
      <c r="C151" s="184"/>
      <c r="D151" s="72">
        <v>180</v>
      </c>
      <c r="E151" s="73">
        <v>15.33</v>
      </c>
      <c r="F151" s="73">
        <v>4.4400000000000004</v>
      </c>
      <c r="G151" s="73">
        <v>6.44</v>
      </c>
      <c r="H151" s="73">
        <v>44.01</v>
      </c>
      <c r="I151" s="73">
        <v>251.82</v>
      </c>
      <c r="J151" s="73">
        <v>3.5999999999999997E-2</v>
      </c>
      <c r="K151" s="75">
        <v>2.4E-2</v>
      </c>
      <c r="L151" s="73">
        <v>0</v>
      </c>
      <c r="M151" s="75">
        <v>4.8000000000000001E-2</v>
      </c>
      <c r="N151" s="112">
        <v>0</v>
      </c>
      <c r="O151" s="112">
        <v>17.93</v>
      </c>
      <c r="P151" s="72">
        <v>95.25</v>
      </c>
      <c r="Q151" s="150">
        <v>0</v>
      </c>
      <c r="R151" s="112">
        <v>1E-3</v>
      </c>
      <c r="S151" s="73">
        <v>33.47</v>
      </c>
      <c r="T151" s="160">
        <v>0.70799999999999996</v>
      </c>
      <c r="U151" s="59"/>
      <c r="V151" s="59"/>
      <c r="W151" s="59"/>
      <c r="X151" s="59"/>
    </row>
    <row r="152" spans="1:24" s="57" customFormat="1">
      <c r="A152" s="76">
        <v>345</v>
      </c>
      <c r="B152" s="223" t="s">
        <v>44</v>
      </c>
      <c r="C152" s="223"/>
      <c r="D152" s="109">
        <v>200</v>
      </c>
      <c r="E152" s="110">
        <v>4.9000000000000004</v>
      </c>
      <c r="F152" s="110">
        <v>0.06</v>
      </c>
      <c r="G152" s="110">
        <v>0.02</v>
      </c>
      <c r="H152" s="110">
        <v>20.73</v>
      </c>
      <c r="I152" s="110">
        <v>83.34</v>
      </c>
      <c r="J152" s="110">
        <v>0</v>
      </c>
      <c r="K152" s="110">
        <v>0</v>
      </c>
      <c r="L152" s="110">
        <v>2.5</v>
      </c>
      <c r="M152" s="110">
        <v>4.0000000000000001E-3</v>
      </c>
      <c r="N152" s="110">
        <v>0.2</v>
      </c>
      <c r="O152" s="110">
        <v>4</v>
      </c>
      <c r="P152" s="110">
        <v>3.3</v>
      </c>
      <c r="Q152" s="110">
        <v>0.08</v>
      </c>
      <c r="R152" s="110">
        <v>1E-3</v>
      </c>
      <c r="S152" s="110">
        <v>1.7</v>
      </c>
      <c r="T152" s="110">
        <v>0.15</v>
      </c>
      <c r="U152" s="58"/>
      <c r="V152" s="59"/>
      <c r="W152" s="59"/>
      <c r="X152" s="59"/>
    </row>
    <row r="153" spans="1:24" s="57" customFormat="1" ht="11.25" customHeight="1">
      <c r="A153" s="111" t="s">
        <v>57</v>
      </c>
      <c r="B153" s="190" t="s">
        <v>42</v>
      </c>
      <c r="C153" s="191"/>
      <c r="D153" s="72">
        <v>40</v>
      </c>
      <c r="E153" s="73">
        <v>2.56</v>
      </c>
      <c r="F153" s="73">
        <f>2.64*D153/40</f>
        <v>2.64</v>
      </c>
      <c r="G153" s="73">
        <f>0.48*D153/40</f>
        <v>0.48</v>
      </c>
      <c r="H153" s="73">
        <f>13.68*D153/40</f>
        <v>13.680000000000001</v>
      </c>
      <c r="I153" s="73">
        <f>F153*4+G153*9+H153*4</f>
        <v>69.600000000000009</v>
      </c>
      <c r="J153" s="75">
        <f>0.08*D153/40</f>
        <v>0.08</v>
      </c>
      <c r="K153" s="73">
        <f>0.04*D153/40</f>
        <v>0.04</v>
      </c>
      <c r="L153" s="72">
        <v>0</v>
      </c>
      <c r="M153" s="72">
        <v>0</v>
      </c>
      <c r="N153" s="73">
        <f>2.4*D153/40</f>
        <v>2.4</v>
      </c>
      <c r="O153" s="73">
        <f>14*D153/40</f>
        <v>14</v>
      </c>
      <c r="P153" s="73">
        <f>63.2*D153/40</f>
        <v>63.2</v>
      </c>
      <c r="Q153" s="73">
        <f>1.2*D153/40</f>
        <v>1.2</v>
      </c>
      <c r="R153" s="74">
        <f>0.001*D153/40</f>
        <v>1E-3</v>
      </c>
      <c r="S153" s="73">
        <f>9.4*D153/40</f>
        <v>9.4</v>
      </c>
      <c r="T153" s="75">
        <f>0.78*D153/40</f>
        <v>0.78</v>
      </c>
      <c r="U153" s="60"/>
      <c r="V153" s="61"/>
      <c r="W153" s="61"/>
      <c r="X153" s="61"/>
    </row>
    <row r="154" spans="1:24" s="49" customFormat="1" ht="11.25" customHeight="1">
      <c r="A154" s="158"/>
      <c r="B154" s="159"/>
      <c r="C154" s="159"/>
      <c r="D154" s="72"/>
      <c r="E154" s="73"/>
      <c r="F154" s="73"/>
      <c r="G154" s="74"/>
      <c r="H154" s="74"/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74"/>
      <c r="T154" s="74"/>
      <c r="U154" s="47"/>
      <c r="V154" s="48"/>
      <c r="W154" s="48"/>
      <c r="X154" s="48"/>
    </row>
    <row r="155" spans="1:24" s="2" customFormat="1" ht="11.25" customHeight="1">
      <c r="A155" s="101" t="s">
        <v>25</v>
      </c>
      <c r="B155" s="102"/>
      <c r="C155" s="102"/>
      <c r="D155" s="103">
        <f>SUM(D148:D153)</f>
        <v>885</v>
      </c>
      <c r="E155" s="104">
        <f t="shared" ref="E155:T155" si="37">SUM(E148:E154)</f>
        <v>98.000000000000014</v>
      </c>
      <c r="F155" s="104">
        <f t="shared" si="37"/>
        <v>35.21</v>
      </c>
      <c r="G155" s="104">
        <f t="shared" si="37"/>
        <v>36.159999999999997</v>
      </c>
      <c r="H155" s="104">
        <f t="shared" si="37"/>
        <v>103.33000000000001</v>
      </c>
      <c r="I155" s="104">
        <f t="shared" si="37"/>
        <v>879.83</v>
      </c>
      <c r="J155" s="104">
        <f t="shared" si="37"/>
        <v>0.33900000000000002</v>
      </c>
      <c r="K155" s="104">
        <f t="shared" si="37"/>
        <v>0.41699999999999998</v>
      </c>
      <c r="L155" s="104">
        <f t="shared" si="37"/>
        <v>46.945</v>
      </c>
      <c r="M155" s="104">
        <f t="shared" si="37"/>
        <v>0.97400000000000009</v>
      </c>
      <c r="N155" s="104">
        <f t="shared" si="37"/>
        <v>5.2200000000000006</v>
      </c>
      <c r="O155" s="104">
        <f t="shared" si="37"/>
        <v>147.5</v>
      </c>
      <c r="P155" s="104">
        <f t="shared" si="37"/>
        <v>258.58</v>
      </c>
      <c r="Q155" s="104">
        <f t="shared" si="37"/>
        <v>3.4000000000000004</v>
      </c>
      <c r="R155" s="104">
        <f t="shared" si="37"/>
        <v>9.0000000000000011E-3</v>
      </c>
      <c r="S155" s="104">
        <f t="shared" si="37"/>
        <v>111.07000000000001</v>
      </c>
      <c r="T155" s="104">
        <f t="shared" si="37"/>
        <v>5.5680000000000005</v>
      </c>
      <c r="U155" s="23"/>
      <c r="V155" s="24"/>
      <c r="W155" s="24"/>
      <c r="X155" s="24"/>
    </row>
    <row r="156" spans="1:24" s="2" customFormat="1" ht="11.25" customHeight="1">
      <c r="A156" s="185" t="s">
        <v>54</v>
      </c>
      <c r="B156" s="186"/>
      <c r="C156" s="186"/>
      <c r="D156" s="187"/>
      <c r="E156" s="105">
        <f>98-E155</f>
        <v>0</v>
      </c>
      <c r="F156" s="106">
        <f t="shared" ref="F156:T156" si="38">F155/F163</f>
        <v>0.39122222222222225</v>
      </c>
      <c r="G156" s="107">
        <f t="shared" si="38"/>
        <v>0.39304347826086955</v>
      </c>
      <c r="H156" s="107">
        <f t="shared" si="38"/>
        <v>0.26979112271540473</v>
      </c>
      <c r="I156" s="107">
        <f t="shared" si="38"/>
        <v>0.32346691176470588</v>
      </c>
      <c r="J156" s="107">
        <f t="shared" si="38"/>
        <v>0.24214285714285719</v>
      </c>
      <c r="K156" s="107">
        <f t="shared" si="38"/>
        <v>0.260625</v>
      </c>
      <c r="L156" s="107">
        <f t="shared" si="38"/>
        <v>0.6706428571428571</v>
      </c>
      <c r="M156" s="107">
        <f t="shared" si="38"/>
        <v>1.0822222222222222</v>
      </c>
      <c r="N156" s="107">
        <f t="shared" si="38"/>
        <v>0.43500000000000005</v>
      </c>
      <c r="O156" s="107">
        <f t="shared" si="38"/>
        <v>0.12291666666666666</v>
      </c>
      <c r="P156" s="107">
        <f t="shared" si="38"/>
        <v>0.21548333333333333</v>
      </c>
      <c r="Q156" s="107">
        <f t="shared" si="38"/>
        <v>0.24285714285714288</v>
      </c>
      <c r="R156" s="107">
        <f t="shared" si="38"/>
        <v>9.0000000000000011E-2</v>
      </c>
      <c r="S156" s="107">
        <f t="shared" si="38"/>
        <v>0.37023333333333336</v>
      </c>
      <c r="T156" s="108">
        <f t="shared" si="38"/>
        <v>0.30933333333333335</v>
      </c>
      <c r="U156" s="28"/>
      <c r="V156" s="24"/>
      <c r="W156" s="24"/>
      <c r="X156" s="24"/>
    </row>
    <row r="157" spans="1:24" s="2" customFormat="1" ht="11.25" customHeight="1">
      <c r="A157" s="192" t="s">
        <v>26</v>
      </c>
      <c r="B157" s="193"/>
      <c r="C157" s="193"/>
      <c r="D157" s="193"/>
      <c r="E157" s="193"/>
      <c r="F157" s="193"/>
      <c r="G157" s="193"/>
      <c r="H157" s="193"/>
      <c r="I157" s="193"/>
      <c r="J157" s="193"/>
      <c r="K157" s="193"/>
      <c r="L157" s="193"/>
      <c r="M157" s="193"/>
      <c r="N157" s="193"/>
      <c r="O157" s="193"/>
      <c r="P157" s="193"/>
      <c r="Q157" s="193"/>
      <c r="R157" s="193"/>
      <c r="S157" s="193"/>
      <c r="T157" s="194"/>
      <c r="U157" s="6"/>
      <c r="V157" s="19"/>
      <c r="W157" s="19"/>
      <c r="X157" s="19"/>
    </row>
    <row r="158" spans="1:24" s="42" customFormat="1" ht="12" customHeight="1">
      <c r="A158" s="117"/>
      <c r="B158" s="201"/>
      <c r="C158" s="201"/>
      <c r="D158" s="118"/>
      <c r="E158" s="119"/>
      <c r="F158" s="119"/>
      <c r="G158" s="122"/>
      <c r="H158" s="122"/>
      <c r="I158" s="119"/>
      <c r="J158" s="119"/>
      <c r="K158" s="119"/>
      <c r="L158" s="119"/>
      <c r="M158" s="121"/>
      <c r="N158" s="122"/>
      <c r="O158" s="119"/>
      <c r="P158" s="119"/>
      <c r="Q158" s="119"/>
      <c r="R158" s="120"/>
      <c r="S158" s="119"/>
      <c r="T158" s="119"/>
    </row>
    <row r="159" spans="1:24" s="42" customFormat="1" ht="12" customHeight="1">
      <c r="A159" s="123"/>
      <c r="B159" s="223"/>
      <c r="C159" s="223"/>
      <c r="D159" s="109"/>
      <c r="E159" s="110"/>
      <c r="F159" s="110"/>
      <c r="G159" s="110"/>
      <c r="H159" s="110"/>
      <c r="I159" s="110"/>
      <c r="J159" s="110"/>
      <c r="K159" s="110"/>
      <c r="L159" s="110"/>
      <c r="M159" s="110"/>
      <c r="N159" s="110"/>
      <c r="O159" s="110"/>
      <c r="P159" s="110"/>
      <c r="Q159" s="110"/>
      <c r="R159" s="110"/>
      <c r="S159" s="110"/>
      <c r="T159" s="110"/>
    </row>
    <row r="160" spans="1:24" s="1" customFormat="1" ht="11.25" customHeight="1">
      <c r="A160" s="101" t="s">
        <v>27</v>
      </c>
      <c r="B160" s="102"/>
      <c r="C160" s="102"/>
      <c r="D160" s="103">
        <f t="shared" ref="D160:I160" si="39">SUM(D158:D159)</f>
        <v>0</v>
      </c>
      <c r="E160" s="104">
        <f t="shared" si="39"/>
        <v>0</v>
      </c>
      <c r="F160" s="113">
        <f t="shared" si="39"/>
        <v>0</v>
      </c>
      <c r="G160" s="114">
        <f t="shared" si="39"/>
        <v>0</v>
      </c>
      <c r="H160" s="114">
        <f t="shared" si="39"/>
        <v>0</v>
      </c>
      <c r="I160" s="114">
        <f t="shared" si="39"/>
        <v>0</v>
      </c>
      <c r="J160" s="113">
        <f t="shared" ref="J160:T160" si="40">SUM(J158:J159)</f>
        <v>0</v>
      </c>
      <c r="K160" s="113">
        <f t="shared" si="40"/>
        <v>0</v>
      </c>
      <c r="L160" s="113">
        <f t="shared" si="40"/>
        <v>0</v>
      </c>
      <c r="M160" s="113">
        <f t="shared" si="40"/>
        <v>0</v>
      </c>
      <c r="N160" s="116">
        <f t="shared" si="40"/>
        <v>0</v>
      </c>
      <c r="O160" s="113">
        <f t="shared" si="40"/>
        <v>0</v>
      </c>
      <c r="P160" s="113">
        <f t="shared" si="40"/>
        <v>0</v>
      </c>
      <c r="Q160" s="113">
        <f t="shared" si="40"/>
        <v>0</v>
      </c>
      <c r="R160" s="113">
        <f t="shared" si="40"/>
        <v>0</v>
      </c>
      <c r="S160" s="113">
        <f t="shared" si="40"/>
        <v>0</v>
      </c>
      <c r="T160" s="113">
        <f t="shared" si="40"/>
        <v>0</v>
      </c>
      <c r="U160" s="23"/>
      <c r="V160" s="24"/>
      <c r="W160" s="24"/>
      <c r="X160" s="24"/>
    </row>
    <row r="161" spans="1:24" s="1" customFormat="1" ht="11.25" customHeight="1">
      <c r="A161" s="185" t="s">
        <v>54</v>
      </c>
      <c r="B161" s="186"/>
      <c r="C161" s="186"/>
      <c r="D161" s="187"/>
      <c r="E161" s="124"/>
      <c r="F161" s="113">
        <f>F160/F163</f>
        <v>0</v>
      </c>
      <c r="G161" s="108">
        <f t="shared" ref="G161:T161" si="41">G160/G163</f>
        <v>0</v>
      </c>
      <c r="H161" s="108">
        <f t="shared" si="41"/>
        <v>0</v>
      </c>
      <c r="I161" s="108">
        <f t="shared" si="41"/>
        <v>0</v>
      </c>
      <c r="J161" s="108">
        <f t="shared" si="41"/>
        <v>0</v>
      </c>
      <c r="K161" s="108">
        <f t="shared" si="41"/>
        <v>0</v>
      </c>
      <c r="L161" s="108">
        <f t="shared" si="41"/>
        <v>0</v>
      </c>
      <c r="M161" s="108">
        <f t="shared" si="41"/>
        <v>0</v>
      </c>
      <c r="N161" s="108">
        <f t="shared" si="41"/>
        <v>0</v>
      </c>
      <c r="O161" s="108">
        <f t="shared" si="41"/>
        <v>0</v>
      </c>
      <c r="P161" s="108">
        <f t="shared" si="41"/>
        <v>0</v>
      </c>
      <c r="Q161" s="108">
        <f t="shared" si="41"/>
        <v>0</v>
      </c>
      <c r="R161" s="108">
        <f t="shared" si="41"/>
        <v>0</v>
      </c>
      <c r="S161" s="108">
        <f t="shared" si="41"/>
        <v>0</v>
      </c>
      <c r="T161" s="108">
        <f t="shared" si="41"/>
        <v>0</v>
      </c>
      <c r="U161" s="28"/>
      <c r="V161" s="24"/>
      <c r="W161" s="24"/>
      <c r="X161" s="24"/>
    </row>
    <row r="162" spans="1:24" s="1" customFormat="1" ht="11.25" customHeight="1">
      <c r="A162" s="101" t="s">
        <v>53</v>
      </c>
      <c r="B162" s="102"/>
      <c r="C162" s="102"/>
      <c r="D162" s="125">
        <f>D155+D144</f>
        <v>1485</v>
      </c>
      <c r="E162" s="126">
        <f>E144+E155</f>
        <v>176.3</v>
      </c>
      <c r="F162" s="113">
        <f t="shared" ref="F162:T162" si="42">SUM(F144,F155,F160)</f>
        <v>52.9</v>
      </c>
      <c r="G162" s="114">
        <f t="shared" si="42"/>
        <v>50.8</v>
      </c>
      <c r="H162" s="114">
        <f t="shared" si="42"/>
        <v>191.45000000000002</v>
      </c>
      <c r="I162" s="114">
        <f t="shared" si="42"/>
        <v>1434.5100000000002</v>
      </c>
      <c r="J162" s="113">
        <f t="shared" si="42"/>
        <v>0.56699999999999995</v>
      </c>
      <c r="K162" s="113">
        <f t="shared" si="42"/>
        <v>0.52299999999999991</v>
      </c>
      <c r="L162" s="114">
        <f t="shared" si="42"/>
        <v>59.924999999999997</v>
      </c>
      <c r="M162" s="113">
        <f t="shared" si="42"/>
        <v>1.07</v>
      </c>
      <c r="N162" s="113">
        <f t="shared" si="42"/>
        <v>8.2200000000000006</v>
      </c>
      <c r="O162" s="114">
        <f t="shared" si="42"/>
        <v>278.02999999999997</v>
      </c>
      <c r="P162" s="114">
        <f t="shared" si="42"/>
        <v>533.03</v>
      </c>
      <c r="Q162" s="113">
        <f t="shared" si="42"/>
        <v>5.4880000000000004</v>
      </c>
      <c r="R162" s="116">
        <f t="shared" si="42"/>
        <v>1.2E-2</v>
      </c>
      <c r="S162" s="113">
        <f t="shared" si="42"/>
        <v>188.03399999999999</v>
      </c>
      <c r="T162" s="113">
        <f t="shared" si="42"/>
        <v>7.3000000000000007</v>
      </c>
      <c r="U162" s="25"/>
      <c r="V162" s="24"/>
      <c r="W162" s="24"/>
      <c r="X162" s="24"/>
    </row>
    <row r="163" spans="1:24" s="1" customFormat="1" ht="11.25" customHeight="1">
      <c r="A163" s="220" t="s">
        <v>55</v>
      </c>
      <c r="B163" s="221"/>
      <c r="C163" s="221"/>
      <c r="D163" s="222"/>
      <c r="E163" s="127"/>
      <c r="F163" s="73">
        <v>90</v>
      </c>
      <c r="G163" s="112">
        <v>92</v>
      </c>
      <c r="H163" s="112">
        <v>383</v>
      </c>
      <c r="I163" s="112">
        <v>2720</v>
      </c>
      <c r="J163" s="73">
        <v>1.4</v>
      </c>
      <c r="K163" s="73">
        <v>1.6</v>
      </c>
      <c r="L163" s="72">
        <v>70</v>
      </c>
      <c r="M163" s="73">
        <v>0.9</v>
      </c>
      <c r="N163" s="72">
        <v>12</v>
      </c>
      <c r="O163" s="72">
        <v>1200</v>
      </c>
      <c r="P163" s="72">
        <v>1200</v>
      </c>
      <c r="Q163" s="72">
        <v>14</v>
      </c>
      <c r="R163" s="112">
        <v>0.1</v>
      </c>
      <c r="S163" s="72">
        <v>300</v>
      </c>
      <c r="T163" s="73">
        <v>18</v>
      </c>
      <c r="U163" s="34"/>
      <c r="V163" s="35"/>
      <c r="W163" s="35"/>
      <c r="X163" s="35"/>
    </row>
    <row r="164" spans="1:24" s="1" customFormat="1" ht="11.25" customHeight="1">
      <c r="A164" s="185" t="s">
        <v>54</v>
      </c>
      <c r="B164" s="186"/>
      <c r="C164" s="186"/>
      <c r="D164" s="187"/>
      <c r="E164" s="124"/>
      <c r="F164" s="107">
        <f t="shared" ref="F164:T164" si="43">F162/F163</f>
        <v>0.58777777777777773</v>
      </c>
      <c r="G164" s="108">
        <f t="shared" si="43"/>
        <v>0.55217391304347818</v>
      </c>
      <c r="H164" s="108">
        <f t="shared" si="43"/>
        <v>0.49986945169712799</v>
      </c>
      <c r="I164" s="108">
        <f t="shared" si="43"/>
        <v>0.52739338235294131</v>
      </c>
      <c r="J164" s="108">
        <f t="shared" si="43"/>
        <v>0.40499999999999997</v>
      </c>
      <c r="K164" s="108">
        <f t="shared" si="43"/>
        <v>0.32687499999999992</v>
      </c>
      <c r="L164" s="108">
        <f t="shared" si="43"/>
        <v>0.85607142857142848</v>
      </c>
      <c r="M164" s="128">
        <f t="shared" si="43"/>
        <v>1.1888888888888889</v>
      </c>
      <c r="N164" s="108">
        <f t="shared" si="43"/>
        <v>0.68500000000000005</v>
      </c>
      <c r="O164" s="108">
        <f t="shared" si="43"/>
        <v>0.23169166666666666</v>
      </c>
      <c r="P164" s="108">
        <f t="shared" si="43"/>
        <v>0.44419166666666665</v>
      </c>
      <c r="Q164" s="108">
        <f t="shared" si="43"/>
        <v>0.39200000000000002</v>
      </c>
      <c r="R164" s="128">
        <f t="shared" si="43"/>
        <v>0.12</v>
      </c>
      <c r="S164" s="108">
        <f t="shared" si="43"/>
        <v>0.62678</v>
      </c>
      <c r="T164" s="128">
        <f t="shared" si="43"/>
        <v>0.40555555555555561</v>
      </c>
      <c r="U164" s="26"/>
      <c r="V164" s="27"/>
      <c r="W164" s="27"/>
      <c r="X164" s="27"/>
    </row>
    <row r="165" spans="1:24" s="1" customFormat="1" ht="11.25" customHeight="1">
      <c r="A165" s="161"/>
      <c r="B165" s="88"/>
      <c r="C165" s="88"/>
      <c r="D165" s="84"/>
      <c r="E165" s="84"/>
      <c r="F165" s="85"/>
      <c r="G165" s="84"/>
      <c r="H165" s="84"/>
      <c r="I165" s="84"/>
      <c r="J165" s="84"/>
      <c r="K165" s="84"/>
      <c r="L165" s="84"/>
      <c r="M165" s="229" t="s">
        <v>56</v>
      </c>
      <c r="N165" s="229"/>
      <c r="O165" s="229"/>
      <c r="P165" s="229"/>
      <c r="Q165" s="229"/>
      <c r="R165" s="229"/>
      <c r="S165" s="229"/>
      <c r="T165" s="229"/>
      <c r="U165" s="7"/>
      <c r="V165" s="14"/>
      <c r="W165" s="14"/>
      <c r="X165" s="14"/>
    </row>
    <row r="166" spans="1:24" s="2" customFormat="1" ht="11.25" customHeight="1">
      <c r="A166" s="208" t="s">
        <v>36</v>
      </c>
      <c r="B166" s="208"/>
      <c r="C166" s="208"/>
      <c r="D166" s="208"/>
      <c r="E166" s="208"/>
      <c r="F166" s="208"/>
      <c r="G166" s="208"/>
      <c r="H166" s="208"/>
      <c r="I166" s="208"/>
      <c r="J166" s="208"/>
      <c r="K166" s="208"/>
      <c r="L166" s="208"/>
      <c r="M166" s="208"/>
      <c r="N166" s="208"/>
      <c r="O166" s="208"/>
      <c r="P166" s="208"/>
      <c r="Q166" s="208"/>
      <c r="R166" s="208"/>
      <c r="S166" s="208"/>
      <c r="T166" s="208"/>
      <c r="U166" s="8"/>
      <c r="V166" s="20"/>
      <c r="W166" s="20"/>
      <c r="X166" s="20"/>
    </row>
    <row r="167" spans="1:24" s="2" customFormat="1" ht="11.25" customHeight="1">
      <c r="A167" s="87" t="s">
        <v>47</v>
      </c>
      <c r="B167" s="88"/>
      <c r="C167" s="88"/>
      <c r="D167" s="82"/>
      <c r="E167" s="82"/>
      <c r="F167" s="85"/>
      <c r="G167" s="189" t="s">
        <v>0</v>
      </c>
      <c r="H167" s="189"/>
      <c r="I167" s="189"/>
      <c r="J167" s="84"/>
      <c r="K167" s="84"/>
      <c r="L167" s="207" t="s">
        <v>1</v>
      </c>
      <c r="M167" s="207"/>
      <c r="N167" s="188" t="str">
        <f>N134</f>
        <v>осенне-зимний</v>
      </c>
      <c r="O167" s="188"/>
      <c r="P167" s="188"/>
      <c r="Q167" s="188"/>
      <c r="R167" s="84"/>
      <c r="S167" s="84"/>
      <c r="T167" s="84"/>
      <c r="U167" s="9"/>
      <c r="V167" s="15"/>
      <c r="W167" s="15"/>
      <c r="X167" s="15"/>
    </row>
    <row r="168" spans="1:24" s="2" customFormat="1" ht="11.25" customHeight="1">
      <c r="A168" s="88"/>
      <c r="B168" s="88"/>
      <c r="C168" s="88"/>
      <c r="D168" s="206" t="s">
        <v>2</v>
      </c>
      <c r="E168" s="206"/>
      <c r="F168" s="206"/>
      <c r="G168" s="89">
        <v>2</v>
      </c>
      <c r="H168" s="84"/>
      <c r="I168" s="82"/>
      <c r="J168" s="82"/>
      <c r="K168" s="82"/>
      <c r="L168" s="206" t="s">
        <v>3</v>
      </c>
      <c r="M168" s="206"/>
      <c r="N168" s="189" t="str">
        <f>N135</f>
        <v>с 7-11 лет</v>
      </c>
      <c r="O168" s="189"/>
      <c r="P168" s="189"/>
      <c r="Q168" s="189"/>
      <c r="R168" s="189"/>
      <c r="S168" s="189"/>
      <c r="T168" s="189"/>
      <c r="U168" s="10"/>
      <c r="V168" s="16"/>
      <c r="W168" s="16"/>
      <c r="X168" s="16"/>
    </row>
    <row r="169" spans="1:24" s="1" customFormat="1" ht="21.75" customHeight="1">
      <c r="A169" s="199" t="s">
        <v>4</v>
      </c>
      <c r="B169" s="195" t="s">
        <v>5</v>
      </c>
      <c r="C169" s="196"/>
      <c r="D169" s="199" t="s">
        <v>6</v>
      </c>
      <c r="E169" s="90"/>
      <c r="F169" s="202" t="s">
        <v>7</v>
      </c>
      <c r="G169" s="203"/>
      <c r="H169" s="204"/>
      <c r="I169" s="199" t="s">
        <v>8</v>
      </c>
      <c r="J169" s="202" t="s">
        <v>9</v>
      </c>
      <c r="K169" s="203"/>
      <c r="L169" s="203"/>
      <c r="M169" s="203"/>
      <c r="N169" s="204"/>
      <c r="O169" s="202" t="s">
        <v>10</v>
      </c>
      <c r="P169" s="203"/>
      <c r="Q169" s="203"/>
      <c r="R169" s="203"/>
      <c r="S169" s="203"/>
      <c r="T169" s="204"/>
      <c r="U169" s="4"/>
      <c r="V169" s="17"/>
      <c r="W169" s="17"/>
      <c r="X169" s="17"/>
    </row>
    <row r="170" spans="1:24" s="1" customFormat="1" ht="21" customHeight="1">
      <c r="A170" s="200"/>
      <c r="B170" s="197"/>
      <c r="C170" s="198"/>
      <c r="D170" s="200"/>
      <c r="E170" s="91"/>
      <c r="F170" s="92" t="s">
        <v>11</v>
      </c>
      <c r="G170" s="93" t="s">
        <v>12</v>
      </c>
      <c r="H170" s="93" t="s">
        <v>13</v>
      </c>
      <c r="I170" s="200"/>
      <c r="J170" s="93" t="s">
        <v>14</v>
      </c>
      <c r="K170" s="93" t="s">
        <v>49</v>
      </c>
      <c r="L170" s="93" t="s">
        <v>15</v>
      </c>
      <c r="M170" s="93" t="s">
        <v>16</v>
      </c>
      <c r="N170" s="93" t="s">
        <v>17</v>
      </c>
      <c r="O170" s="93" t="s">
        <v>18</v>
      </c>
      <c r="P170" s="93" t="s">
        <v>19</v>
      </c>
      <c r="Q170" s="93" t="s">
        <v>50</v>
      </c>
      <c r="R170" s="93" t="s">
        <v>52</v>
      </c>
      <c r="S170" s="93" t="s">
        <v>20</v>
      </c>
      <c r="T170" s="93" t="s">
        <v>21</v>
      </c>
      <c r="U170" s="4"/>
      <c r="V170" s="17"/>
      <c r="W170" s="17"/>
      <c r="X170" s="17"/>
    </row>
    <row r="171" spans="1:24" s="1" customFormat="1" ht="11.25" customHeight="1">
      <c r="A171" s="71">
        <v>1</v>
      </c>
      <c r="B171" s="212">
        <v>2</v>
      </c>
      <c r="C171" s="213"/>
      <c r="D171" s="94">
        <v>3</v>
      </c>
      <c r="E171" s="94"/>
      <c r="F171" s="95">
        <v>4</v>
      </c>
      <c r="G171" s="94">
        <v>5</v>
      </c>
      <c r="H171" s="94">
        <v>6</v>
      </c>
      <c r="I171" s="94">
        <v>7</v>
      </c>
      <c r="J171" s="94">
        <v>8</v>
      </c>
      <c r="K171" s="94">
        <v>9</v>
      </c>
      <c r="L171" s="94">
        <v>10</v>
      </c>
      <c r="M171" s="94">
        <v>11</v>
      </c>
      <c r="N171" s="94">
        <v>12</v>
      </c>
      <c r="O171" s="94">
        <v>13</v>
      </c>
      <c r="P171" s="94">
        <v>14</v>
      </c>
      <c r="Q171" s="94">
        <v>15</v>
      </c>
      <c r="R171" s="94">
        <v>16</v>
      </c>
      <c r="S171" s="94">
        <v>17</v>
      </c>
      <c r="T171" s="94">
        <v>18</v>
      </c>
      <c r="U171" s="5"/>
      <c r="V171" s="18"/>
      <c r="W171" s="18"/>
      <c r="X171" s="18"/>
    </row>
    <row r="172" spans="1:24" s="1" customFormat="1" ht="11.25" customHeight="1">
      <c r="A172" s="192" t="s">
        <v>75</v>
      </c>
      <c r="B172" s="193"/>
      <c r="C172" s="193"/>
      <c r="D172" s="193"/>
      <c r="E172" s="193"/>
      <c r="F172" s="193"/>
      <c r="G172" s="193"/>
      <c r="H172" s="193"/>
      <c r="I172" s="193"/>
      <c r="J172" s="193"/>
      <c r="K172" s="193"/>
      <c r="L172" s="193"/>
      <c r="M172" s="193"/>
      <c r="N172" s="193"/>
      <c r="O172" s="193"/>
      <c r="P172" s="193"/>
      <c r="Q172" s="193"/>
      <c r="R172" s="193"/>
      <c r="S172" s="193"/>
      <c r="T172" s="194"/>
      <c r="U172" s="6"/>
      <c r="V172" s="19"/>
      <c r="W172" s="19"/>
      <c r="X172" s="19"/>
    </row>
    <row r="173" spans="1:24" s="57" customFormat="1" ht="20.25" customHeight="1">
      <c r="A173" s="96" t="s">
        <v>57</v>
      </c>
      <c r="B173" s="190" t="s">
        <v>106</v>
      </c>
      <c r="C173" s="191"/>
      <c r="D173" s="97">
        <v>65</v>
      </c>
      <c r="E173" s="97">
        <v>13.93</v>
      </c>
      <c r="F173" s="98">
        <v>0.66</v>
      </c>
      <c r="G173" s="98">
        <v>0.06</v>
      </c>
      <c r="H173" s="98">
        <v>0.96</v>
      </c>
      <c r="I173" s="98">
        <v>7.02</v>
      </c>
      <c r="J173" s="99">
        <v>2.4E-2</v>
      </c>
      <c r="K173" s="98">
        <v>1.7999999999999999E-2</v>
      </c>
      <c r="L173" s="98">
        <v>6</v>
      </c>
      <c r="M173" s="99">
        <v>0.03</v>
      </c>
      <c r="N173" s="97">
        <v>0.42</v>
      </c>
      <c r="O173" s="98">
        <v>8.4</v>
      </c>
      <c r="P173" s="98">
        <v>15.6</v>
      </c>
      <c r="Q173" s="99" t="s">
        <v>103</v>
      </c>
      <c r="R173" s="99">
        <v>0</v>
      </c>
      <c r="S173" s="98">
        <v>12</v>
      </c>
      <c r="T173" s="98">
        <v>0.54</v>
      </c>
      <c r="U173" s="55"/>
      <c r="V173" s="56"/>
      <c r="W173" s="56"/>
      <c r="X173" s="56"/>
    </row>
    <row r="174" spans="1:24" s="57" customFormat="1" ht="12" customHeight="1">
      <c r="A174" s="71">
        <v>291</v>
      </c>
      <c r="B174" s="190" t="s">
        <v>100</v>
      </c>
      <c r="C174" s="191"/>
      <c r="D174" s="72">
        <v>220</v>
      </c>
      <c r="E174" s="73">
        <v>50.45</v>
      </c>
      <c r="F174" s="73">
        <v>20.492999999999999</v>
      </c>
      <c r="G174" s="73">
        <v>23.95</v>
      </c>
      <c r="H174" s="73">
        <v>43.295999999999999</v>
      </c>
      <c r="I174" s="73">
        <v>470.77</v>
      </c>
      <c r="J174" s="73">
        <v>0.748</v>
      </c>
      <c r="K174" s="73">
        <v>0.72599999999999998</v>
      </c>
      <c r="L174" s="73">
        <v>3.93</v>
      </c>
      <c r="M174" s="73">
        <v>0.42</v>
      </c>
      <c r="N174" s="75">
        <v>0</v>
      </c>
      <c r="O174" s="73">
        <v>40.600999999999999</v>
      </c>
      <c r="P174" s="73">
        <v>276.51</v>
      </c>
      <c r="Q174" s="72">
        <v>0</v>
      </c>
      <c r="R174" s="72">
        <v>0</v>
      </c>
      <c r="S174" s="73">
        <v>59.026000000000003</v>
      </c>
      <c r="T174" s="73">
        <v>2.5409999999999999</v>
      </c>
      <c r="U174" s="58"/>
      <c r="V174" s="59"/>
      <c r="W174" s="59"/>
      <c r="X174" s="59"/>
    </row>
    <row r="175" spans="1:24" s="57" customFormat="1" ht="11.25" customHeight="1">
      <c r="A175" s="100">
        <v>41</v>
      </c>
      <c r="B175" s="190" t="s">
        <v>101</v>
      </c>
      <c r="C175" s="191"/>
      <c r="D175" s="72">
        <v>5</v>
      </c>
      <c r="E175" s="73">
        <v>6</v>
      </c>
      <c r="F175" s="73">
        <v>1.33</v>
      </c>
      <c r="G175" s="74">
        <v>1.43</v>
      </c>
      <c r="H175" s="74">
        <v>0.02</v>
      </c>
      <c r="I175" s="74">
        <v>17.8</v>
      </c>
      <c r="J175" s="74">
        <v>0</v>
      </c>
      <c r="K175" s="74">
        <f>0.01*D175/30</f>
        <v>1.6666666666666668E-3</v>
      </c>
      <c r="L175" s="74">
        <v>0</v>
      </c>
      <c r="M175" s="74">
        <v>29.5</v>
      </c>
      <c r="N175" s="74">
        <v>0</v>
      </c>
      <c r="O175" s="74">
        <v>0.5</v>
      </c>
      <c r="P175" s="74">
        <v>1</v>
      </c>
      <c r="Q175" s="74">
        <f>0.008*D175/30</f>
        <v>1.3333333333333333E-3</v>
      </c>
      <c r="R175" s="74">
        <f>0.001*D175/30</f>
        <v>1.6666666666666666E-4</v>
      </c>
      <c r="S175" s="74">
        <v>0</v>
      </c>
      <c r="T175" s="74">
        <v>0</v>
      </c>
      <c r="U175" s="58"/>
      <c r="V175" s="59"/>
      <c r="W175" s="59"/>
      <c r="X175" s="59"/>
    </row>
    <row r="176" spans="1:24" s="57" customFormat="1" ht="11.25" customHeight="1">
      <c r="A176" s="100" t="s">
        <v>57</v>
      </c>
      <c r="B176" s="190" t="s">
        <v>102</v>
      </c>
      <c r="C176" s="191"/>
      <c r="D176" s="72">
        <v>30</v>
      </c>
      <c r="E176" s="73">
        <v>3.39</v>
      </c>
      <c r="F176" s="73">
        <f>1.52*D176/30</f>
        <v>1.52</v>
      </c>
      <c r="G176" s="74">
        <f>0.16*D176/30</f>
        <v>0.16</v>
      </c>
      <c r="H176" s="74">
        <f>9.84*D176/30</f>
        <v>9.84</v>
      </c>
      <c r="I176" s="74">
        <f>F176*4+G176*9+H176*4</f>
        <v>46.879999999999995</v>
      </c>
      <c r="J176" s="74">
        <f>0.02*D176/30</f>
        <v>0.02</v>
      </c>
      <c r="K176" s="74">
        <f>0.01*D176/30</f>
        <v>0.01</v>
      </c>
      <c r="L176" s="74">
        <f>0.44*D176/30</f>
        <v>0.44</v>
      </c>
      <c r="M176" s="74">
        <v>0</v>
      </c>
      <c r="N176" s="74">
        <f>0.7*D176/30</f>
        <v>0.7</v>
      </c>
      <c r="O176" s="74">
        <f>4*D176/30</f>
        <v>4</v>
      </c>
      <c r="P176" s="74">
        <f>13*D176/30</f>
        <v>13</v>
      </c>
      <c r="Q176" s="74">
        <f>0.008*D176/30</f>
        <v>8.0000000000000002E-3</v>
      </c>
      <c r="R176" s="74">
        <f>0.001*D176/30</f>
        <v>1E-3</v>
      </c>
      <c r="S176" s="74">
        <v>0</v>
      </c>
      <c r="T176" s="74">
        <f>0.22*D176/30</f>
        <v>0.22</v>
      </c>
      <c r="U176" s="58"/>
      <c r="V176" s="59"/>
      <c r="W176" s="59"/>
      <c r="X176" s="59"/>
    </row>
    <row r="177" spans="1:24" s="57" customFormat="1" ht="12.75" customHeight="1">
      <c r="A177" s="71">
        <v>377</v>
      </c>
      <c r="B177" s="184" t="s">
        <v>41</v>
      </c>
      <c r="C177" s="184"/>
      <c r="D177" s="72">
        <v>200</v>
      </c>
      <c r="E177" s="73">
        <v>4.53</v>
      </c>
      <c r="F177" s="73">
        <v>0.26</v>
      </c>
      <c r="G177" s="73">
        <v>0.06</v>
      </c>
      <c r="H177" s="73">
        <v>15.22</v>
      </c>
      <c r="I177" s="73">
        <f>F177*4+G177*9+H177*4</f>
        <v>62.46</v>
      </c>
      <c r="J177" s="73">
        <v>0</v>
      </c>
      <c r="K177" s="73">
        <v>0.01</v>
      </c>
      <c r="L177" s="73">
        <v>2.9</v>
      </c>
      <c r="M177" s="75">
        <v>0</v>
      </c>
      <c r="N177" s="73">
        <v>0.06</v>
      </c>
      <c r="O177" s="73">
        <v>8.0500000000000007</v>
      </c>
      <c r="P177" s="73">
        <v>9.7799999999999994</v>
      </c>
      <c r="Q177" s="73">
        <v>1.7000000000000001E-2</v>
      </c>
      <c r="R177" s="74">
        <v>0</v>
      </c>
      <c r="S177" s="73">
        <v>5.24</v>
      </c>
      <c r="T177" s="73">
        <v>0.87</v>
      </c>
      <c r="U177" s="58"/>
      <c r="V177" s="59"/>
      <c r="W177" s="59"/>
      <c r="X177" s="59"/>
    </row>
    <row r="178" spans="1:24" s="2" customFormat="1" ht="11.25" customHeight="1">
      <c r="A178" s="130" t="str">
        <f>A242</f>
        <v xml:space="preserve">Итого за Завтрак </v>
      </c>
      <c r="B178" s="131"/>
      <c r="C178" s="131"/>
      <c r="D178" s="103">
        <f t="shared" ref="D178:T178" si="44">SUM(D173:D177)</f>
        <v>520</v>
      </c>
      <c r="E178" s="104">
        <f t="shared" si="44"/>
        <v>78.3</v>
      </c>
      <c r="F178" s="113">
        <f t="shared" si="44"/>
        <v>24.262999999999998</v>
      </c>
      <c r="G178" s="113">
        <f t="shared" si="44"/>
        <v>25.659999999999997</v>
      </c>
      <c r="H178" s="113">
        <f t="shared" si="44"/>
        <v>69.335999999999999</v>
      </c>
      <c r="I178" s="113">
        <f t="shared" si="44"/>
        <v>604.93000000000006</v>
      </c>
      <c r="J178" s="113">
        <f t="shared" si="44"/>
        <v>0.79200000000000004</v>
      </c>
      <c r="K178" s="113">
        <f t="shared" si="44"/>
        <v>0.76566666666666672</v>
      </c>
      <c r="L178" s="113">
        <f t="shared" si="44"/>
        <v>13.27</v>
      </c>
      <c r="M178" s="113">
        <f t="shared" si="44"/>
        <v>29.95</v>
      </c>
      <c r="N178" s="113">
        <f t="shared" si="44"/>
        <v>1.18</v>
      </c>
      <c r="O178" s="113">
        <f t="shared" si="44"/>
        <v>61.551000000000002</v>
      </c>
      <c r="P178" s="113">
        <f t="shared" si="44"/>
        <v>315.89</v>
      </c>
      <c r="Q178" s="113">
        <f t="shared" si="44"/>
        <v>2.6333333333333334E-2</v>
      </c>
      <c r="R178" s="113">
        <f t="shared" si="44"/>
        <v>1.1666666666666668E-3</v>
      </c>
      <c r="S178" s="113">
        <f t="shared" si="44"/>
        <v>76.266000000000005</v>
      </c>
      <c r="T178" s="113">
        <f t="shared" si="44"/>
        <v>4.1710000000000003</v>
      </c>
      <c r="U178" s="23"/>
      <c r="V178" s="24"/>
      <c r="W178" s="24"/>
      <c r="X178" s="24"/>
    </row>
    <row r="179" spans="1:24" s="2" customFormat="1" ht="11.25" customHeight="1">
      <c r="A179" s="185" t="s">
        <v>54</v>
      </c>
      <c r="B179" s="186"/>
      <c r="C179" s="186"/>
      <c r="D179" s="187"/>
      <c r="E179" s="162"/>
      <c r="F179" s="106">
        <f t="shared" ref="F179:T179" si="45">F178/F197</f>
        <v>0.26958888888888888</v>
      </c>
      <c r="G179" s="108">
        <f t="shared" si="45"/>
        <v>0.27891304347826085</v>
      </c>
      <c r="H179" s="108">
        <f t="shared" si="45"/>
        <v>0.18103394255874672</v>
      </c>
      <c r="I179" s="108">
        <f t="shared" si="45"/>
        <v>0.22240073529411766</v>
      </c>
      <c r="J179" s="108">
        <f t="shared" si="45"/>
        <v>0.56571428571428573</v>
      </c>
      <c r="K179" s="108">
        <f t="shared" si="45"/>
        <v>0.4785416666666667</v>
      </c>
      <c r="L179" s="108">
        <f t="shared" si="45"/>
        <v>0.18957142857142856</v>
      </c>
      <c r="M179" s="108">
        <f t="shared" si="45"/>
        <v>33.277777777777779</v>
      </c>
      <c r="N179" s="108">
        <f t="shared" si="45"/>
        <v>9.8333333333333328E-2</v>
      </c>
      <c r="O179" s="108">
        <f t="shared" si="45"/>
        <v>5.1292500000000005E-2</v>
      </c>
      <c r="P179" s="108">
        <f t="shared" si="45"/>
        <v>0.26324166666666665</v>
      </c>
      <c r="Q179" s="108">
        <f t="shared" si="45"/>
        <v>1.8809523809523809E-3</v>
      </c>
      <c r="R179" s="108">
        <f t="shared" si="45"/>
        <v>1.1666666666666667E-2</v>
      </c>
      <c r="S179" s="108">
        <f t="shared" si="45"/>
        <v>0.25422</v>
      </c>
      <c r="T179" s="108">
        <f t="shared" si="45"/>
        <v>0.23172222222222225</v>
      </c>
      <c r="U179" s="28"/>
      <c r="V179" s="24"/>
      <c r="W179" s="24"/>
      <c r="X179" s="24"/>
    </row>
    <row r="180" spans="1:24" s="2" customFormat="1" ht="11.25" customHeight="1">
      <c r="A180" s="192" t="s">
        <v>24</v>
      </c>
      <c r="B180" s="193"/>
      <c r="C180" s="193"/>
      <c r="D180" s="193"/>
      <c r="E180" s="193"/>
      <c r="F180" s="193"/>
      <c r="G180" s="193"/>
      <c r="H180" s="193"/>
      <c r="I180" s="193"/>
      <c r="J180" s="193"/>
      <c r="K180" s="193"/>
      <c r="L180" s="193"/>
      <c r="M180" s="193"/>
      <c r="N180" s="193"/>
      <c r="O180" s="193"/>
      <c r="P180" s="193"/>
      <c r="Q180" s="193"/>
      <c r="R180" s="193"/>
      <c r="S180" s="193"/>
      <c r="T180" s="194"/>
      <c r="U180" s="6"/>
      <c r="V180" s="19"/>
      <c r="W180" s="19"/>
      <c r="X180" s="19"/>
    </row>
    <row r="181" spans="1:24" s="57" customFormat="1" ht="22.5" customHeight="1">
      <c r="A181" s="71" t="s">
        <v>78</v>
      </c>
      <c r="B181" s="190" t="s">
        <v>109</v>
      </c>
      <c r="C181" s="191"/>
      <c r="D181" s="72">
        <v>100</v>
      </c>
      <c r="E181" s="73">
        <v>9.51</v>
      </c>
      <c r="F181" s="73">
        <f>0.9*D181/60</f>
        <v>1.5</v>
      </c>
      <c r="G181" s="112">
        <f>3.1*D181/60</f>
        <v>5.166666666666667</v>
      </c>
      <c r="H181" s="112">
        <f>5.6*D181/60</f>
        <v>9.3333333333333339</v>
      </c>
      <c r="I181" s="73">
        <f>F181*4+G181*9+H181*4</f>
        <v>89.833333333333343</v>
      </c>
      <c r="J181" s="74">
        <f>0.1*D181/60</f>
        <v>0.16666666666666666</v>
      </c>
      <c r="K181" s="74">
        <f>0.1*D181/60</f>
        <v>0.16666666666666666</v>
      </c>
      <c r="L181" s="73">
        <f>12.3*D181/60</f>
        <v>20.5</v>
      </c>
      <c r="M181" s="74">
        <f>0.02*D181/60</f>
        <v>3.3333333333333333E-2</v>
      </c>
      <c r="N181" s="74">
        <f>0.5*D181/60</f>
        <v>0.83333333333333337</v>
      </c>
      <c r="O181" s="112">
        <f>59.9*D181/60</f>
        <v>99.833333333333329</v>
      </c>
      <c r="P181" s="112">
        <f>31.3*D181/60</f>
        <v>52.166666666666664</v>
      </c>
      <c r="Q181" s="150">
        <f>0.4228*D181/60</f>
        <v>0.70466666666666666</v>
      </c>
      <c r="R181" s="74">
        <f>0.003*D181/60</f>
        <v>5.0000000000000001E-3</v>
      </c>
      <c r="S181" s="112">
        <f>16.3*D181/60</f>
        <v>27.166666666666668</v>
      </c>
      <c r="T181" s="73">
        <f>0.7*D181/60</f>
        <v>1.1666666666666667</v>
      </c>
      <c r="U181" s="58"/>
      <c r="V181" s="59"/>
      <c r="W181" s="59"/>
      <c r="X181" s="59"/>
    </row>
    <row r="182" spans="1:24" s="57" customFormat="1" ht="22.5" customHeight="1">
      <c r="A182" s="71">
        <v>82</v>
      </c>
      <c r="B182" s="190" t="s">
        <v>68</v>
      </c>
      <c r="C182" s="191"/>
      <c r="D182" s="75">
        <v>250</v>
      </c>
      <c r="E182" s="75">
        <v>12.27</v>
      </c>
      <c r="F182" s="73">
        <v>2.4300000000000002</v>
      </c>
      <c r="G182" s="73">
        <v>3.12</v>
      </c>
      <c r="H182" s="73">
        <v>12.01</v>
      </c>
      <c r="I182" s="73">
        <f>F182*4+G182*9+H182*4</f>
        <v>85.84</v>
      </c>
      <c r="J182" s="75">
        <v>6.4000000000000001E-2</v>
      </c>
      <c r="K182" s="75">
        <v>6.4000000000000001E-2</v>
      </c>
      <c r="L182" s="73">
        <v>20.98</v>
      </c>
      <c r="M182" s="74">
        <v>7.5999999999999998E-2</v>
      </c>
      <c r="N182" s="73">
        <v>0.25700000000000001</v>
      </c>
      <c r="O182" s="73">
        <v>49.59</v>
      </c>
      <c r="P182" s="73">
        <v>58.68</v>
      </c>
      <c r="Q182" s="73">
        <v>0.746</v>
      </c>
      <c r="R182" s="74">
        <v>1.0999999999999999E-2</v>
      </c>
      <c r="S182" s="73">
        <v>25.43</v>
      </c>
      <c r="T182" s="73">
        <v>1.32</v>
      </c>
      <c r="U182" s="58"/>
      <c r="V182" s="59"/>
      <c r="W182" s="59"/>
      <c r="X182" s="59"/>
    </row>
    <row r="183" spans="1:24" s="57" customFormat="1" ht="12.75" customHeight="1">
      <c r="A183" s="71">
        <v>279</v>
      </c>
      <c r="B183" s="190" t="s">
        <v>86</v>
      </c>
      <c r="C183" s="191"/>
      <c r="D183" s="75">
        <v>130</v>
      </c>
      <c r="E183" s="75">
        <v>37.72</v>
      </c>
      <c r="F183" s="73">
        <v>13.49</v>
      </c>
      <c r="G183" s="112">
        <v>16.190000000000001</v>
      </c>
      <c r="H183" s="112">
        <v>17.18</v>
      </c>
      <c r="I183" s="73">
        <v>264.09500000000003</v>
      </c>
      <c r="J183" s="75">
        <v>0.18</v>
      </c>
      <c r="K183" s="73">
        <v>0.14899999999999999</v>
      </c>
      <c r="L183" s="73">
        <v>0.36</v>
      </c>
      <c r="M183" s="75">
        <v>8.9999999999999993E-3</v>
      </c>
      <c r="N183" s="75">
        <v>0.01</v>
      </c>
      <c r="O183" s="112">
        <v>14.55</v>
      </c>
      <c r="P183" s="112">
        <v>159.33000000000001</v>
      </c>
      <c r="Q183" s="73">
        <v>2.29</v>
      </c>
      <c r="R183" s="74">
        <v>3.5000000000000003E-2</v>
      </c>
      <c r="S183" s="112">
        <v>23.33</v>
      </c>
      <c r="T183" s="73">
        <v>2.29</v>
      </c>
      <c r="U183" s="58"/>
      <c r="V183" s="59"/>
      <c r="W183" s="59"/>
      <c r="X183" s="59"/>
    </row>
    <row r="184" spans="1:24" s="57" customFormat="1" ht="12.75" customHeight="1">
      <c r="A184" s="100">
        <v>171</v>
      </c>
      <c r="B184" s="190" t="s">
        <v>22</v>
      </c>
      <c r="C184" s="191"/>
      <c r="D184" s="72">
        <v>180</v>
      </c>
      <c r="E184" s="73">
        <v>18.010000000000002</v>
      </c>
      <c r="F184" s="73">
        <f>6.57*D184/150</f>
        <v>7.8840000000000012</v>
      </c>
      <c r="G184" s="73">
        <f>4.19*D184/150</f>
        <v>5.0280000000000005</v>
      </c>
      <c r="H184" s="73">
        <f>32.32*D184/150</f>
        <v>38.783999999999999</v>
      </c>
      <c r="I184" s="73">
        <f>F184*4+G184*9+H184*4</f>
        <v>231.92400000000001</v>
      </c>
      <c r="J184" s="74">
        <f>0.06*D184/150</f>
        <v>7.1999999999999995E-2</v>
      </c>
      <c r="K184" s="74">
        <f>0.03*D184/150</f>
        <v>3.5999999999999997E-2</v>
      </c>
      <c r="L184" s="75">
        <v>0</v>
      </c>
      <c r="M184" s="74">
        <f>0.03*D184/150</f>
        <v>3.5999999999999997E-2</v>
      </c>
      <c r="N184" s="75">
        <f>2.55*D184/150</f>
        <v>3.0599999999999996</v>
      </c>
      <c r="O184" s="73">
        <f>18.12*D184/150</f>
        <v>21.744000000000003</v>
      </c>
      <c r="P184" s="73">
        <f>157.03*D184/150</f>
        <v>188.43600000000001</v>
      </c>
      <c r="Q184" s="74">
        <f>0.8874*D184/150</f>
        <v>1.06488</v>
      </c>
      <c r="R184" s="74">
        <f>0.00135*D184/150</f>
        <v>1.6200000000000001E-3</v>
      </c>
      <c r="S184" s="73">
        <f>104.45*D184/150</f>
        <v>125.34</v>
      </c>
      <c r="T184" s="73">
        <f>3.55*D184/150</f>
        <v>4.26</v>
      </c>
      <c r="U184" s="58"/>
      <c r="V184" s="59"/>
      <c r="W184" s="59"/>
      <c r="X184" s="59"/>
    </row>
    <row r="185" spans="1:24" s="57" customFormat="1" ht="12" customHeight="1">
      <c r="A185" s="100">
        <v>349</v>
      </c>
      <c r="B185" s="190" t="s">
        <v>67</v>
      </c>
      <c r="C185" s="191"/>
      <c r="D185" s="72">
        <v>200</v>
      </c>
      <c r="E185" s="73">
        <v>5.61</v>
      </c>
      <c r="F185" s="73">
        <v>0.22</v>
      </c>
      <c r="G185" s="75">
        <v>0</v>
      </c>
      <c r="H185" s="73">
        <v>24.42</v>
      </c>
      <c r="I185" s="73">
        <v>98.56</v>
      </c>
      <c r="J185" s="75">
        <v>0</v>
      </c>
      <c r="K185" s="75">
        <v>0</v>
      </c>
      <c r="L185" s="73">
        <v>26.11</v>
      </c>
      <c r="M185" s="75">
        <v>0</v>
      </c>
      <c r="N185" s="75">
        <v>0</v>
      </c>
      <c r="O185" s="112">
        <v>22.6</v>
      </c>
      <c r="P185" s="112">
        <v>7.7</v>
      </c>
      <c r="Q185" s="72">
        <v>0</v>
      </c>
      <c r="R185" s="72">
        <v>0</v>
      </c>
      <c r="S185" s="112">
        <v>3</v>
      </c>
      <c r="T185" s="73">
        <v>0.66</v>
      </c>
      <c r="U185" s="58"/>
      <c r="V185" s="59"/>
      <c r="W185" s="59"/>
      <c r="X185" s="59"/>
    </row>
    <row r="186" spans="1:24" s="57" customFormat="1" ht="11.25" customHeight="1">
      <c r="A186" s="111" t="s">
        <v>57</v>
      </c>
      <c r="B186" s="190" t="s">
        <v>42</v>
      </c>
      <c r="C186" s="191"/>
      <c r="D186" s="72">
        <v>40</v>
      </c>
      <c r="E186" s="73">
        <v>2.56</v>
      </c>
      <c r="F186" s="73">
        <f>2.64*D186/40</f>
        <v>2.64</v>
      </c>
      <c r="G186" s="73">
        <f>0.48*D186/40</f>
        <v>0.48</v>
      </c>
      <c r="H186" s="73">
        <f>13.68*D186/40</f>
        <v>13.680000000000001</v>
      </c>
      <c r="I186" s="112">
        <f>F186*4+G186*9+H186*4</f>
        <v>69.600000000000009</v>
      </c>
      <c r="J186" s="75">
        <f>0.08*D186/40</f>
        <v>0.08</v>
      </c>
      <c r="K186" s="73">
        <f>0.04*D186/40</f>
        <v>0.04</v>
      </c>
      <c r="L186" s="72">
        <v>0</v>
      </c>
      <c r="M186" s="72">
        <v>0</v>
      </c>
      <c r="N186" s="73">
        <f>2.4*D186/40</f>
        <v>2.4</v>
      </c>
      <c r="O186" s="73">
        <f>14*D186/40</f>
        <v>14</v>
      </c>
      <c r="P186" s="73">
        <f>63.2*D186/40</f>
        <v>63.2</v>
      </c>
      <c r="Q186" s="73">
        <f>1.2*D186/40</f>
        <v>1.2</v>
      </c>
      <c r="R186" s="74">
        <f>0.001*D186/40</f>
        <v>1E-3</v>
      </c>
      <c r="S186" s="73">
        <f>9.4*D186/40</f>
        <v>9.4</v>
      </c>
      <c r="T186" s="75">
        <f>0.78*D186/40</f>
        <v>0.78</v>
      </c>
      <c r="U186" s="60"/>
      <c r="V186" s="61"/>
      <c r="W186" s="61"/>
      <c r="X186" s="61"/>
    </row>
    <row r="187" spans="1:24" s="57" customFormat="1" ht="11.25" customHeight="1">
      <c r="A187" s="100" t="s">
        <v>57</v>
      </c>
      <c r="B187" s="190" t="s">
        <v>46</v>
      </c>
      <c r="C187" s="191"/>
      <c r="D187" s="72">
        <v>30</v>
      </c>
      <c r="E187" s="73">
        <v>2.85</v>
      </c>
      <c r="F187" s="73">
        <f>1.52*D187/30</f>
        <v>1.52</v>
      </c>
      <c r="G187" s="74">
        <f>0.16*D187/30</f>
        <v>0.16</v>
      </c>
      <c r="H187" s="74">
        <f>9.84*D187/30</f>
        <v>9.84</v>
      </c>
      <c r="I187" s="74">
        <f>F187*4+G187*9+H187*4</f>
        <v>46.879999999999995</v>
      </c>
      <c r="J187" s="74">
        <f>0.02*D187/30</f>
        <v>0.02</v>
      </c>
      <c r="K187" s="74">
        <f>0.01*D187/30</f>
        <v>0.01</v>
      </c>
      <c r="L187" s="74">
        <f>0.44*D187/30</f>
        <v>0.44</v>
      </c>
      <c r="M187" s="74">
        <v>0</v>
      </c>
      <c r="N187" s="74">
        <f>0.7*D187/30</f>
        <v>0.7</v>
      </c>
      <c r="O187" s="74">
        <f>4*D187/30</f>
        <v>4</v>
      </c>
      <c r="P187" s="74">
        <f>13*D187/30</f>
        <v>13</v>
      </c>
      <c r="Q187" s="74">
        <f>0.008*D187/30</f>
        <v>8.0000000000000002E-3</v>
      </c>
      <c r="R187" s="74">
        <f>0.001*D187/30</f>
        <v>1E-3</v>
      </c>
      <c r="S187" s="74">
        <v>0</v>
      </c>
      <c r="T187" s="74">
        <f>0.22*D187/30</f>
        <v>0.22</v>
      </c>
      <c r="U187" s="58"/>
      <c r="V187" s="59"/>
      <c r="W187" s="59"/>
      <c r="X187" s="59"/>
    </row>
    <row r="188" spans="1:24" s="49" customFormat="1" ht="11.25" customHeight="1">
      <c r="A188" s="100" t="s">
        <v>57</v>
      </c>
      <c r="B188" s="190" t="s">
        <v>87</v>
      </c>
      <c r="C188" s="191"/>
      <c r="D188" s="72">
        <v>30</v>
      </c>
      <c r="E188" s="73">
        <v>9.4700000000000006</v>
      </c>
      <c r="F188" s="73">
        <v>0.25</v>
      </c>
      <c r="G188" s="74">
        <v>0.03</v>
      </c>
      <c r="H188" s="74">
        <v>5.23</v>
      </c>
      <c r="I188" s="74">
        <v>48</v>
      </c>
      <c r="J188" s="74">
        <f>0.02*D188/30</f>
        <v>0.02</v>
      </c>
      <c r="K188" s="74">
        <f>0.01*D188/30</f>
        <v>0.01</v>
      </c>
      <c r="L188" s="74">
        <f>0.44*D188/30</f>
        <v>0.44</v>
      </c>
      <c r="M188" s="74">
        <v>0</v>
      </c>
      <c r="N188" s="74">
        <f>0.7*D188/30</f>
        <v>0.7</v>
      </c>
      <c r="O188" s="74">
        <f>4*D188/30</f>
        <v>4</v>
      </c>
      <c r="P188" s="74">
        <f>13*D188/30</f>
        <v>13</v>
      </c>
      <c r="Q188" s="74">
        <f>0.008*D188/30</f>
        <v>8.0000000000000002E-3</v>
      </c>
      <c r="R188" s="74">
        <f>0.001*D188/30</f>
        <v>1E-3</v>
      </c>
      <c r="S188" s="74">
        <v>0</v>
      </c>
      <c r="T188" s="74">
        <f>0.22*D188/30</f>
        <v>0.22</v>
      </c>
      <c r="U188" s="47"/>
      <c r="V188" s="48"/>
      <c r="W188" s="48"/>
      <c r="X188" s="48"/>
    </row>
    <row r="189" spans="1:24" s="2" customFormat="1" ht="11.25" customHeight="1">
      <c r="A189" s="101" t="s">
        <v>25</v>
      </c>
      <c r="B189" s="102"/>
      <c r="C189" s="102"/>
      <c r="D189" s="103">
        <f t="shared" ref="D189:T189" si="46">SUM(D181:D188)</f>
        <v>960</v>
      </c>
      <c r="E189" s="104">
        <f t="shared" si="46"/>
        <v>98</v>
      </c>
      <c r="F189" s="113">
        <f t="shared" si="46"/>
        <v>29.934000000000001</v>
      </c>
      <c r="G189" s="114">
        <f t="shared" si="46"/>
        <v>30.174666666666667</v>
      </c>
      <c r="H189" s="114">
        <f t="shared" si="46"/>
        <v>130.47733333333335</v>
      </c>
      <c r="I189" s="114">
        <f t="shared" si="46"/>
        <v>934.73233333333337</v>
      </c>
      <c r="J189" s="114">
        <f t="shared" si="46"/>
        <v>0.60266666666666668</v>
      </c>
      <c r="K189" s="114">
        <f t="shared" si="46"/>
        <v>0.47566666666666663</v>
      </c>
      <c r="L189" s="114">
        <f t="shared" si="46"/>
        <v>68.83</v>
      </c>
      <c r="M189" s="114">
        <f t="shared" si="46"/>
        <v>0.15433333333333332</v>
      </c>
      <c r="N189" s="114">
        <f t="shared" si="46"/>
        <v>7.9603333333333328</v>
      </c>
      <c r="O189" s="114">
        <f t="shared" si="46"/>
        <v>230.31733333333335</v>
      </c>
      <c r="P189" s="114">
        <f t="shared" si="46"/>
        <v>555.51266666666663</v>
      </c>
      <c r="Q189" s="114">
        <f t="shared" si="46"/>
        <v>6.0215466666666666</v>
      </c>
      <c r="R189" s="114">
        <f t="shared" si="46"/>
        <v>5.562000000000001E-2</v>
      </c>
      <c r="S189" s="114">
        <f t="shared" si="46"/>
        <v>213.66666666666666</v>
      </c>
      <c r="T189" s="114">
        <f t="shared" si="46"/>
        <v>10.916666666666668</v>
      </c>
      <c r="U189" s="23"/>
      <c r="V189" s="24"/>
      <c r="W189" s="24"/>
      <c r="X189" s="24"/>
    </row>
    <row r="190" spans="1:24" s="2" customFormat="1" ht="11.25" customHeight="1">
      <c r="A190" s="185" t="s">
        <v>54</v>
      </c>
      <c r="B190" s="186"/>
      <c r="C190" s="186"/>
      <c r="D190" s="187"/>
      <c r="E190" s="162"/>
      <c r="F190" s="106">
        <f t="shared" ref="F190:T190" si="47">F189/F197</f>
        <v>0.33260000000000001</v>
      </c>
      <c r="G190" s="108">
        <f t="shared" si="47"/>
        <v>0.32798550724637682</v>
      </c>
      <c r="H190" s="108">
        <f t="shared" si="47"/>
        <v>0.34067188859878161</v>
      </c>
      <c r="I190" s="108">
        <f t="shared" si="47"/>
        <v>0.34365159313725491</v>
      </c>
      <c r="J190" s="108">
        <f t="shared" si="47"/>
        <v>0.43047619047619051</v>
      </c>
      <c r="K190" s="108">
        <f t="shared" si="47"/>
        <v>0.29729166666666662</v>
      </c>
      <c r="L190" s="108">
        <f t="shared" si="47"/>
        <v>0.98328571428571421</v>
      </c>
      <c r="M190" s="108">
        <f t="shared" si="47"/>
        <v>0.17148148148148146</v>
      </c>
      <c r="N190" s="108">
        <f t="shared" si="47"/>
        <v>0.66336111111111107</v>
      </c>
      <c r="O190" s="108">
        <f t="shared" si="47"/>
        <v>0.19193111111111114</v>
      </c>
      <c r="P190" s="108">
        <f t="shared" si="47"/>
        <v>0.46292722222222221</v>
      </c>
      <c r="Q190" s="108">
        <f t="shared" si="47"/>
        <v>0.43011047619047621</v>
      </c>
      <c r="R190" s="108">
        <f t="shared" si="47"/>
        <v>0.55620000000000003</v>
      </c>
      <c r="S190" s="108">
        <f t="shared" si="47"/>
        <v>0.7122222222222222</v>
      </c>
      <c r="T190" s="108">
        <f t="shared" si="47"/>
        <v>0.60648148148148151</v>
      </c>
      <c r="U190" s="28"/>
      <c r="V190" s="24"/>
      <c r="W190" s="24"/>
      <c r="X190" s="24"/>
    </row>
    <row r="191" spans="1:24" s="2" customFormat="1" ht="11.25" customHeight="1">
      <c r="A191" s="192" t="s">
        <v>26</v>
      </c>
      <c r="B191" s="193"/>
      <c r="C191" s="193"/>
      <c r="D191" s="193"/>
      <c r="E191" s="193"/>
      <c r="F191" s="193"/>
      <c r="G191" s="193"/>
      <c r="H191" s="193"/>
      <c r="I191" s="193"/>
      <c r="J191" s="193"/>
      <c r="K191" s="193"/>
      <c r="L191" s="193"/>
      <c r="M191" s="193"/>
      <c r="N191" s="193"/>
      <c r="O191" s="193"/>
      <c r="P191" s="193"/>
      <c r="Q191" s="193"/>
      <c r="R191" s="193"/>
      <c r="S191" s="193"/>
      <c r="T191" s="194"/>
      <c r="U191" s="6"/>
      <c r="V191" s="19"/>
      <c r="W191" s="19"/>
      <c r="X191" s="19"/>
    </row>
    <row r="192" spans="1:24" s="42" customFormat="1" ht="11.25" customHeight="1">
      <c r="A192" s="117"/>
      <c r="B192" s="201"/>
      <c r="C192" s="201"/>
      <c r="D192" s="118"/>
      <c r="E192" s="119"/>
      <c r="F192" s="119"/>
      <c r="G192" s="119"/>
      <c r="H192" s="119"/>
      <c r="I192" s="119"/>
      <c r="J192" s="119"/>
      <c r="K192" s="119"/>
      <c r="L192" s="122"/>
      <c r="M192" s="119"/>
      <c r="N192" s="121"/>
      <c r="O192" s="122"/>
      <c r="P192" s="119"/>
      <c r="Q192" s="122"/>
      <c r="R192" s="118"/>
      <c r="S192" s="119"/>
      <c r="T192" s="119"/>
    </row>
    <row r="193" spans="1:24" s="2" customFormat="1" ht="12.75" customHeight="1">
      <c r="A193" s="71"/>
      <c r="B193" s="184"/>
      <c r="C193" s="184"/>
      <c r="D193" s="72"/>
      <c r="E193" s="73"/>
      <c r="F193" s="73"/>
      <c r="G193" s="73"/>
      <c r="H193" s="73"/>
      <c r="I193" s="73"/>
      <c r="J193" s="73"/>
      <c r="K193" s="73"/>
      <c r="L193" s="73"/>
      <c r="M193" s="75"/>
      <c r="N193" s="73"/>
      <c r="O193" s="73"/>
      <c r="P193" s="73"/>
      <c r="Q193" s="73"/>
      <c r="R193" s="74"/>
      <c r="S193" s="73"/>
      <c r="T193" s="73"/>
      <c r="U193" s="34"/>
      <c r="V193" s="35"/>
      <c r="W193" s="35"/>
      <c r="X193" s="35"/>
    </row>
    <row r="194" spans="1:24" s="1" customFormat="1" ht="11.25" customHeight="1">
      <c r="A194" s="101" t="s">
        <v>27</v>
      </c>
      <c r="B194" s="102"/>
      <c r="C194" s="102"/>
      <c r="D194" s="103"/>
      <c r="E194" s="163">
        <f>SUM(E192:E193)</f>
        <v>0</v>
      </c>
      <c r="F194" s="113">
        <f>SUM(F192:F193)</f>
        <v>0</v>
      </c>
      <c r="G194" s="114">
        <f>SUM(G192:G193)</f>
        <v>0</v>
      </c>
      <c r="H194" s="114">
        <f>SUM(H192:H193)</f>
        <v>0</v>
      </c>
      <c r="I194" s="114">
        <f>SUM(I192:I193)</f>
        <v>0</v>
      </c>
      <c r="J194" s="113">
        <f t="shared" ref="J194:T194" si="48">SUM(J192:J193)</f>
        <v>0</v>
      </c>
      <c r="K194" s="113">
        <f t="shared" si="48"/>
        <v>0</v>
      </c>
      <c r="L194" s="114">
        <f t="shared" si="48"/>
        <v>0</v>
      </c>
      <c r="M194" s="114">
        <f t="shared" si="48"/>
        <v>0</v>
      </c>
      <c r="N194" s="114">
        <f t="shared" si="48"/>
        <v>0</v>
      </c>
      <c r="O194" s="114">
        <f t="shared" si="48"/>
        <v>0</v>
      </c>
      <c r="P194" s="114">
        <f t="shared" si="48"/>
        <v>0</v>
      </c>
      <c r="Q194" s="114">
        <f t="shared" si="48"/>
        <v>0</v>
      </c>
      <c r="R194" s="116">
        <f t="shared" si="48"/>
        <v>0</v>
      </c>
      <c r="S194" s="114">
        <f t="shared" si="48"/>
        <v>0</v>
      </c>
      <c r="T194" s="113">
        <f t="shared" si="48"/>
        <v>0</v>
      </c>
      <c r="U194" s="23"/>
      <c r="V194" s="24"/>
      <c r="W194" s="24"/>
      <c r="X194" s="24"/>
    </row>
    <row r="195" spans="1:24" s="1" customFormat="1" ht="11.25" customHeight="1">
      <c r="A195" s="185" t="s">
        <v>54</v>
      </c>
      <c r="B195" s="186"/>
      <c r="C195" s="186"/>
      <c r="D195" s="187"/>
      <c r="E195" s="124"/>
      <c r="F195" s="107">
        <f>F194/F197</f>
        <v>0</v>
      </c>
      <c r="G195" s="108">
        <f t="shared" ref="G195:T195" si="49">G194/G197</f>
        <v>0</v>
      </c>
      <c r="H195" s="108">
        <f t="shared" si="49"/>
        <v>0</v>
      </c>
      <c r="I195" s="108">
        <f t="shared" si="49"/>
        <v>0</v>
      </c>
      <c r="J195" s="108">
        <f t="shared" si="49"/>
        <v>0</v>
      </c>
      <c r="K195" s="108">
        <f t="shared" si="49"/>
        <v>0</v>
      </c>
      <c r="L195" s="108">
        <f t="shared" si="49"/>
        <v>0</v>
      </c>
      <c r="M195" s="108">
        <f t="shared" si="49"/>
        <v>0</v>
      </c>
      <c r="N195" s="108">
        <f t="shared" si="49"/>
        <v>0</v>
      </c>
      <c r="O195" s="108">
        <f t="shared" si="49"/>
        <v>0</v>
      </c>
      <c r="P195" s="108">
        <f t="shared" si="49"/>
        <v>0</v>
      </c>
      <c r="Q195" s="108">
        <f t="shared" si="49"/>
        <v>0</v>
      </c>
      <c r="R195" s="108">
        <f t="shared" si="49"/>
        <v>0</v>
      </c>
      <c r="S195" s="108">
        <f t="shared" si="49"/>
        <v>0</v>
      </c>
      <c r="T195" s="108">
        <f t="shared" si="49"/>
        <v>0</v>
      </c>
      <c r="U195" s="28"/>
      <c r="V195" s="24"/>
      <c r="W195" s="24"/>
      <c r="X195" s="24"/>
    </row>
    <row r="196" spans="1:24" s="1" customFormat="1" ht="11.25" customHeight="1">
      <c r="A196" s="101" t="s">
        <v>53</v>
      </c>
      <c r="B196" s="102"/>
      <c r="C196" s="102"/>
      <c r="D196" s="125">
        <f>D178+D189</f>
        <v>1480</v>
      </c>
      <c r="E196" s="126">
        <f>E189+E178</f>
        <v>176.3</v>
      </c>
      <c r="F196" s="113">
        <f t="shared" ref="F196:T196" si="50">SUM(F178,F189,F194)</f>
        <v>54.197000000000003</v>
      </c>
      <c r="G196" s="114">
        <f t="shared" si="50"/>
        <v>55.834666666666664</v>
      </c>
      <c r="H196" s="114">
        <f t="shared" si="50"/>
        <v>199.81333333333333</v>
      </c>
      <c r="I196" s="114">
        <f t="shared" si="50"/>
        <v>1539.6623333333334</v>
      </c>
      <c r="J196" s="113">
        <f t="shared" si="50"/>
        <v>1.3946666666666667</v>
      </c>
      <c r="K196" s="113">
        <f t="shared" si="50"/>
        <v>1.2413333333333334</v>
      </c>
      <c r="L196" s="114">
        <f t="shared" si="50"/>
        <v>82.1</v>
      </c>
      <c r="M196" s="113">
        <f t="shared" si="50"/>
        <v>30.104333333333333</v>
      </c>
      <c r="N196" s="113">
        <f t="shared" si="50"/>
        <v>9.1403333333333325</v>
      </c>
      <c r="O196" s="114">
        <f t="shared" si="50"/>
        <v>291.86833333333334</v>
      </c>
      <c r="P196" s="114">
        <f t="shared" si="50"/>
        <v>871.40266666666662</v>
      </c>
      <c r="Q196" s="113">
        <f t="shared" si="50"/>
        <v>6.0478800000000001</v>
      </c>
      <c r="R196" s="116">
        <f t="shared" si="50"/>
        <v>5.678666666666668E-2</v>
      </c>
      <c r="S196" s="113">
        <f t="shared" si="50"/>
        <v>289.93266666666665</v>
      </c>
      <c r="T196" s="113">
        <f t="shared" si="50"/>
        <v>15.087666666666667</v>
      </c>
      <c r="U196" s="25"/>
      <c r="V196" s="24"/>
      <c r="W196" s="24"/>
      <c r="X196" s="24"/>
    </row>
    <row r="197" spans="1:24" s="1" customFormat="1" ht="11.25" customHeight="1">
      <c r="A197" s="220" t="s">
        <v>55</v>
      </c>
      <c r="B197" s="221"/>
      <c r="C197" s="221"/>
      <c r="D197" s="222"/>
      <c r="E197" s="127"/>
      <c r="F197" s="73">
        <v>90</v>
      </c>
      <c r="G197" s="112">
        <v>92</v>
      </c>
      <c r="H197" s="112">
        <v>383</v>
      </c>
      <c r="I197" s="112">
        <v>2720</v>
      </c>
      <c r="J197" s="73">
        <v>1.4</v>
      </c>
      <c r="K197" s="73">
        <v>1.6</v>
      </c>
      <c r="L197" s="72">
        <v>70</v>
      </c>
      <c r="M197" s="73">
        <v>0.9</v>
      </c>
      <c r="N197" s="72">
        <v>12</v>
      </c>
      <c r="O197" s="72">
        <v>1200</v>
      </c>
      <c r="P197" s="72">
        <v>1200</v>
      </c>
      <c r="Q197" s="72">
        <v>14</v>
      </c>
      <c r="R197" s="112">
        <v>0.1</v>
      </c>
      <c r="S197" s="72">
        <v>300</v>
      </c>
      <c r="T197" s="73">
        <v>18</v>
      </c>
      <c r="U197" s="34"/>
      <c r="V197" s="35"/>
      <c r="W197" s="35"/>
      <c r="X197" s="35"/>
    </row>
    <row r="198" spans="1:24" s="1" customFormat="1" ht="11.25" customHeight="1">
      <c r="A198" s="185" t="s">
        <v>54</v>
      </c>
      <c r="B198" s="186"/>
      <c r="C198" s="186"/>
      <c r="D198" s="187"/>
      <c r="E198" s="124"/>
      <c r="F198" s="107">
        <f t="shared" ref="F198:T198" si="51">F196/F197</f>
        <v>0.60218888888888888</v>
      </c>
      <c r="G198" s="108">
        <f t="shared" si="51"/>
        <v>0.60689855072463761</v>
      </c>
      <c r="H198" s="108">
        <f t="shared" si="51"/>
        <v>0.52170583115752833</v>
      </c>
      <c r="I198" s="108">
        <f t="shared" si="51"/>
        <v>0.56605232843137254</v>
      </c>
      <c r="J198" s="108">
        <f t="shared" si="51"/>
        <v>0.99619047619047629</v>
      </c>
      <c r="K198" s="108">
        <f t="shared" si="51"/>
        <v>0.77583333333333337</v>
      </c>
      <c r="L198" s="128">
        <f t="shared" si="51"/>
        <v>1.1728571428571428</v>
      </c>
      <c r="M198" s="128">
        <f t="shared" si="51"/>
        <v>33.449259259259257</v>
      </c>
      <c r="N198" s="128">
        <f t="shared" si="51"/>
        <v>0.76169444444444434</v>
      </c>
      <c r="O198" s="108">
        <f t="shared" si="51"/>
        <v>0.24322361111111113</v>
      </c>
      <c r="P198" s="108">
        <f t="shared" si="51"/>
        <v>0.72616888888888886</v>
      </c>
      <c r="Q198" s="108">
        <f t="shared" si="51"/>
        <v>0.43199142857142858</v>
      </c>
      <c r="R198" s="128">
        <f t="shared" si="51"/>
        <v>0.56786666666666674</v>
      </c>
      <c r="S198" s="108">
        <f t="shared" si="51"/>
        <v>0.9664422222222222</v>
      </c>
      <c r="T198" s="128">
        <f t="shared" si="51"/>
        <v>0.83820370370370378</v>
      </c>
      <c r="U198" s="26"/>
      <c r="V198" s="27"/>
      <c r="W198" s="27"/>
      <c r="X198" s="27"/>
    </row>
    <row r="199" spans="1:24" s="1" customFormat="1" ht="11.25" customHeight="1">
      <c r="A199" s="161"/>
      <c r="B199" s="88"/>
      <c r="C199" s="88"/>
      <c r="D199" s="84"/>
      <c r="E199" s="84"/>
      <c r="F199" s="85"/>
      <c r="G199" s="84"/>
      <c r="H199" s="84"/>
      <c r="I199" s="84"/>
      <c r="J199" s="84"/>
      <c r="K199" s="84"/>
      <c r="L199" s="84"/>
      <c r="M199" s="229" t="s">
        <v>56</v>
      </c>
      <c r="N199" s="229"/>
      <c r="O199" s="229"/>
      <c r="P199" s="229"/>
      <c r="Q199" s="229"/>
      <c r="R199" s="229"/>
      <c r="S199" s="229"/>
      <c r="T199" s="229"/>
      <c r="U199" s="7"/>
      <c r="V199" s="14"/>
      <c r="W199" s="14"/>
      <c r="X199" s="14"/>
    </row>
    <row r="200" spans="1:24" s="1" customFormat="1" ht="11.25" customHeight="1">
      <c r="A200" s="208" t="s">
        <v>37</v>
      </c>
      <c r="B200" s="208"/>
      <c r="C200" s="208"/>
      <c r="D200" s="208"/>
      <c r="E200" s="208"/>
      <c r="F200" s="208"/>
      <c r="G200" s="208"/>
      <c r="H200" s="208"/>
      <c r="I200" s="208"/>
      <c r="J200" s="208"/>
      <c r="K200" s="208"/>
      <c r="L200" s="208"/>
      <c r="M200" s="208"/>
      <c r="N200" s="208"/>
      <c r="O200" s="208"/>
      <c r="P200" s="208"/>
      <c r="Q200" s="208"/>
      <c r="R200" s="208"/>
      <c r="S200" s="208"/>
      <c r="T200" s="208"/>
      <c r="U200" s="8"/>
      <c r="V200" s="20"/>
      <c r="W200" s="20"/>
      <c r="X200" s="20"/>
    </row>
    <row r="201" spans="1:24" s="1" customFormat="1" ht="11.25" customHeight="1">
      <c r="A201" s="87" t="s">
        <v>47</v>
      </c>
      <c r="B201" s="88"/>
      <c r="C201" s="88"/>
      <c r="D201" s="82"/>
      <c r="E201" s="82"/>
      <c r="F201" s="85"/>
      <c r="G201" s="189" t="s">
        <v>29</v>
      </c>
      <c r="H201" s="189"/>
      <c r="I201" s="189"/>
      <c r="J201" s="84"/>
      <c r="K201" s="84"/>
      <c r="L201" s="207" t="s">
        <v>1</v>
      </c>
      <c r="M201" s="207"/>
      <c r="N201" s="188" t="str">
        <f>N167</f>
        <v>осенне-зимний</v>
      </c>
      <c r="O201" s="188"/>
      <c r="P201" s="188"/>
      <c r="Q201" s="188"/>
      <c r="R201" s="84"/>
      <c r="S201" s="84"/>
      <c r="T201" s="84"/>
      <c r="U201" s="9"/>
      <c r="V201" s="15"/>
      <c r="W201" s="15"/>
      <c r="X201" s="15"/>
    </row>
    <row r="202" spans="1:24" s="1" customFormat="1" ht="11.25" customHeight="1">
      <c r="A202" s="88"/>
      <c r="B202" s="88"/>
      <c r="C202" s="88"/>
      <c r="D202" s="206" t="s">
        <v>2</v>
      </c>
      <c r="E202" s="206"/>
      <c r="F202" s="206"/>
      <c r="G202" s="89">
        <v>2</v>
      </c>
      <c r="H202" s="84"/>
      <c r="I202" s="82"/>
      <c r="J202" s="82"/>
      <c r="K202" s="82"/>
      <c r="L202" s="206" t="s">
        <v>3</v>
      </c>
      <c r="M202" s="206"/>
      <c r="N202" s="189" t="str">
        <f>N168</f>
        <v>с 7-11 лет</v>
      </c>
      <c r="O202" s="189"/>
      <c r="P202" s="189"/>
      <c r="Q202" s="189"/>
      <c r="R202" s="189"/>
      <c r="S202" s="189"/>
      <c r="T202" s="189"/>
      <c r="U202" s="10"/>
      <c r="V202" s="16"/>
      <c r="W202" s="16"/>
      <c r="X202" s="16"/>
    </row>
    <row r="203" spans="1:24" s="1" customFormat="1" ht="21.75" customHeight="1">
      <c r="A203" s="199" t="s">
        <v>4</v>
      </c>
      <c r="B203" s="195" t="s">
        <v>5</v>
      </c>
      <c r="C203" s="196"/>
      <c r="D203" s="199" t="s">
        <v>6</v>
      </c>
      <c r="E203" s="90"/>
      <c r="F203" s="202" t="s">
        <v>7</v>
      </c>
      <c r="G203" s="203"/>
      <c r="H203" s="204"/>
      <c r="I203" s="199" t="s">
        <v>8</v>
      </c>
      <c r="J203" s="202" t="s">
        <v>9</v>
      </c>
      <c r="K203" s="203"/>
      <c r="L203" s="203"/>
      <c r="M203" s="203"/>
      <c r="N203" s="204"/>
      <c r="O203" s="202" t="s">
        <v>10</v>
      </c>
      <c r="P203" s="203"/>
      <c r="Q203" s="203"/>
      <c r="R203" s="203"/>
      <c r="S203" s="203"/>
      <c r="T203" s="204"/>
      <c r="U203" s="4"/>
      <c r="V203" s="17"/>
      <c r="W203" s="17"/>
      <c r="X203" s="17"/>
    </row>
    <row r="204" spans="1:24" s="1" customFormat="1" ht="21" customHeight="1">
      <c r="A204" s="200"/>
      <c r="B204" s="197"/>
      <c r="C204" s="198"/>
      <c r="D204" s="200"/>
      <c r="E204" s="91"/>
      <c r="F204" s="92" t="s">
        <v>11</v>
      </c>
      <c r="G204" s="93" t="s">
        <v>12</v>
      </c>
      <c r="H204" s="93" t="s">
        <v>13</v>
      </c>
      <c r="I204" s="200"/>
      <c r="J204" s="93" t="s">
        <v>14</v>
      </c>
      <c r="K204" s="93" t="s">
        <v>49</v>
      </c>
      <c r="L204" s="93" t="s">
        <v>15</v>
      </c>
      <c r="M204" s="93" t="s">
        <v>16</v>
      </c>
      <c r="N204" s="93" t="s">
        <v>17</v>
      </c>
      <c r="O204" s="93" t="s">
        <v>18</v>
      </c>
      <c r="P204" s="93" t="s">
        <v>19</v>
      </c>
      <c r="Q204" s="93" t="s">
        <v>50</v>
      </c>
      <c r="R204" s="93" t="s">
        <v>51</v>
      </c>
      <c r="S204" s="93" t="s">
        <v>20</v>
      </c>
      <c r="T204" s="93" t="s">
        <v>21</v>
      </c>
      <c r="U204" s="4"/>
      <c r="V204" s="17"/>
      <c r="W204" s="17"/>
      <c r="X204" s="17"/>
    </row>
    <row r="205" spans="1:24" s="1" customFormat="1" ht="11.25" customHeight="1">
      <c r="A205" s="71">
        <v>1</v>
      </c>
      <c r="B205" s="212">
        <v>2</v>
      </c>
      <c r="C205" s="213"/>
      <c r="D205" s="94">
        <v>3</v>
      </c>
      <c r="E205" s="94"/>
      <c r="F205" s="94">
        <v>4</v>
      </c>
      <c r="G205" s="94">
        <v>5</v>
      </c>
      <c r="H205" s="94">
        <v>6</v>
      </c>
      <c r="I205" s="94">
        <v>7</v>
      </c>
      <c r="J205" s="94">
        <v>8</v>
      </c>
      <c r="K205" s="94">
        <v>9</v>
      </c>
      <c r="L205" s="94">
        <v>10</v>
      </c>
      <c r="M205" s="94">
        <v>11</v>
      </c>
      <c r="N205" s="94">
        <v>12</v>
      </c>
      <c r="O205" s="94">
        <v>13</v>
      </c>
      <c r="P205" s="94">
        <v>14</v>
      </c>
      <c r="Q205" s="94">
        <v>15</v>
      </c>
      <c r="R205" s="94">
        <v>16</v>
      </c>
      <c r="S205" s="94">
        <v>17</v>
      </c>
      <c r="T205" s="94">
        <v>18</v>
      </c>
      <c r="U205" s="5"/>
      <c r="V205" s="18"/>
      <c r="W205" s="18"/>
      <c r="X205" s="18"/>
    </row>
    <row r="206" spans="1:24" s="1" customFormat="1" ht="11.25" customHeight="1">
      <c r="A206" s="192" t="s">
        <v>75</v>
      </c>
      <c r="B206" s="193"/>
      <c r="C206" s="193"/>
      <c r="D206" s="193"/>
      <c r="E206" s="193"/>
      <c r="F206" s="193"/>
      <c r="G206" s="193"/>
      <c r="H206" s="193"/>
      <c r="I206" s="193"/>
      <c r="J206" s="193"/>
      <c r="K206" s="193"/>
      <c r="L206" s="193"/>
      <c r="M206" s="193"/>
      <c r="N206" s="193"/>
      <c r="O206" s="193"/>
      <c r="P206" s="193"/>
      <c r="Q206" s="193"/>
      <c r="R206" s="193"/>
      <c r="S206" s="193"/>
      <c r="T206" s="194"/>
      <c r="U206" s="6"/>
      <c r="V206" s="19"/>
      <c r="W206" s="19"/>
      <c r="X206" s="19"/>
    </row>
    <row r="207" spans="1:24" s="57" customFormat="1" ht="21.75" customHeight="1">
      <c r="A207" s="71">
        <v>362</v>
      </c>
      <c r="B207" s="190" t="s">
        <v>97</v>
      </c>
      <c r="C207" s="191"/>
      <c r="D207" s="72">
        <v>160</v>
      </c>
      <c r="E207" s="73">
        <v>60.07</v>
      </c>
      <c r="F207" s="73">
        <v>14.04</v>
      </c>
      <c r="G207" s="73">
        <v>13.53</v>
      </c>
      <c r="H207" s="73">
        <v>29.65</v>
      </c>
      <c r="I207" s="73">
        <v>296.60000000000002</v>
      </c>
      <c r="J207" s="73">
        <v>0.24</v>
      </c>
      <c r="K207" s="73">
        <v>0.38</v>
      </c>
      <c r="L207" s="73">
        <v>0.88</v>
      </c>
      <c r="M207" s="74">
        <v>0.2</v>
      </c>
      <c r="N207" s="75">
        <v>1.28</v>
      </c>
      <c r="O207" s="73">
        <v>203.25</v>
      </c>
      <c r="P207" s="73">
        <v>390.21</v>
      </c>
      <c r="Q207" s="72">
        <v>1.1200000000000001</v>
      </c>
      <c r="R207" s="74">
        <v>1.9E-2</v>
      </c>
      <c r="S207" s="73">
        <v>88.36</v>
      </c>
      <c r="T207" s="73">
        <v>2.38</v>
      </c>
      <c r="U207" s="58"/>
      <c r="V207" s="63"/>
      <c r="W207" s="63"/>
      <c r="X207" s="63"/>
    </row>
    <row r="208" spans="1:24" s="57" customFormat="1" ht="12.75" customHeight="1">
      <c r="A208" s="71">
        <v>377</v>
      </c>
      <c r="B208" s="214" t="s">
        <v>41</v>
      </c>
      <c r="C208" s="215"/>
      <c r="D208" s="72">
        <v>200</v>
      </c>
      <c r="E208" s="73">
        <v>4.53</v>
      </c>
      <c r="F208" s="73">
        <v>0.26</v>
      </c>
      <c r="G208" s="73">
        <v>0.06</v>
      </c>
      <c r="H208" s="73">
        <v>15.22</v>
      </c>
      <c r="I208" s="73">
        <f>F208*4+G208*9+H208*4</f>
        <v>62.46</v>
      </c>
      <c r="J208" s="73">
        <v>0</v>
      </c>
      <c r="K208" s="73">
        <v>0.01</v>
      </c>
      <c r="L208" s="73">
        <v>2.9</v>
      </c>
      <c r="M208" s="75">
        <v>0</v>
      </c>
      <c r="N208" s="73">
        <v>0.06</v>
      </c>
      <c r="O208" s="73">
        <v>8.0500000000000007</v>
      </c>
      <c r="P208" s="73">
        <v>9.7799999999999994</v>
      </c>
      <c r="Q208" s="73">
        <v>1.7000000000000001E-2</v>
      </c>
      <c r="R208" s="74">
        <v>0</v>
      </c>
      <c r="S208" s="73">
        <v>5.24</v>
      </c>
      <c r="T208" s="73">
        <v>0.87</v>
      </c>
      <c r="U208" s="58"/>
      <c r="V208" s="59"/>
      <c r="W208" s="59"/>
      <c r="X208" s="59"/>
    </row>
    <row r="209" spans="1:24" s="54" customFormat="1" ht="14.25" customHeight="1">
      <c r="A209" s="76" t="s">
        <v>57</v>
      </c>
      <c r="B209" s="183" t="s">
        <v>73</v>
      </c>
      <c r="C209" s="183"/>
      <c r="D209" s="77">
        <v>200</v>
      </c>
      <c r="E209" s="78"/>
      <c r="F209" s="79">
        <v>5.6</v>
      </c>
      <c r="G209" s="79">
        <v>6.4</v>
      </c>
      <c r="H209" s="79">
        <v>9.4</v>
      </c>
      <c r="I209" s="79">
        <v>117.6</v>
      </c>
      <c r="J209" s="79">
        <v>0.08</v>
      </c>
      <c r="K209" s="79">
        <v>0.307</v>
      </c>
      <c r="L209" s="79">
        <v>2.6</v>
      </c>
      <c r="M209" s="79">
        <v>6.7000000000000004E-2</v>
      </c>
      <c r="N209" s="79">
        <v>0.29199999999999998</v>
      </c>
      <c r="O209" s="79">
        <v>240</v>
      </c>
      <c r="P209" s="79">
        <v>180</v>
      </c>
      <c r="Q209" s="79">
        <v>0.8</v>
      </c>
      <c r="R209" s="79">
        <v>1.7999999999999999E-2</v>
      </c>
      <c r="S209" s="79">
        <v>28</v>
      </c>
      <c r="T209" s="79">
        <v>0.12</v>
      </c>
      <c r="V209" s="80"/>
      <c r="W209" s="80"/>
      <c r="X209" s="80"/>
    </row>
    <row r="210" spans="1:24" s="62" customFormat="1" ht="14.25" customHeight="1">
      <c r="A210" s="76" t="s">
        <v>57</v>
      </c>
      <c r="B210" s="183" t="s">
        <v>113</v>
      </c>
      <c r="C210" s="183"/>
      <c r="D210" s="77">
        <v>100</v>
      </c>
      <c r="E210" s="81">
        <v>13.7</v>
      </c>
      <c r="F210" s="79">
        <v>5.6</v>
      </c>
      <c r="G210" s="79">
        <v>6.4</v>
      </c>
      <c r="H210" s="79">
        <v>9.4</v>
      </c>
      <c r="I210" s="79">
        <v>117.6</v>
      </c>
      <c r="J210" s="79">
        <v>0.08</v>
      </c>
      <c r="K210" s="79">
        <v>0.307</v>
      </c>
      <c r="L210" s="79">
        <v>2.6</v>
      </c>
      <c r="M210" s="79">
        <v>6.7000000000000004E-2</v>
      </c>
      <c r="N210" s="79">
        <v>0.29199999999999998</v>
      </c>
      <c r="O210" s="79">
        <v>240</v>
      </c>
      <c r="P210" s="79">
        <v>180</v>
      </c>
      <c r="Q210" s="79">
        <v>0.8</v>
      </c>
      <c r="R210" s="79">
        <v>1.7999999999999999E-2</v>
      </c>
      <c r="S210" s="79">
        <v>28</v>
      </c>
      <c r="T210" s="79">
        <v>0.12</v>
      </c>
    </row>
    <row r="211" spans="1:24" s="2" customFormat="1" ht="11.25" customHeight="1">
      <c r="A211" s="130" t="s">
        <v>76</v>
      </c>
      <c r="B211" s="131"/>
      <c r="C211" s="131"/>
      <c r="D211" s="103">
        <f t="shared" ref="D211:T211" si="52">SUM(D207:D210)</f>
        <v>660</v>
      </c>
      <c r="E211" s="104">
        <f t="shared" si="52"/>
        <v>78.3</v>
      </c>
      <c r="F211" s="104">
        <f t="shared" si="52"/>
        <v>25.5</v>
      </c>
      <c r="G211" s="104">
        <f t="shared" si="52"/>
        <v>26.39</v>
      </c>
      <c r="H211" s="104">
        <f t="shared" si="52"/>
        <v>63.669999999999995</v>
      </c>
      <c r="I211" s="104">
        <f t="shared" si="52"/>
        <v>594.26</v>
      </c>
      <c r="J211" s="104">
        <f t="shared" si="52"/>
        <v>0.4</v>
      </c>
      <c r="K211" s="104">
        <f t="shared" si="52"/>
        <v>1.004</v>
      </c>
      <c r="L211" s="104">
        <f t="shared" si="52"/>
        <v>8.98</v>
      </c>
      <c r="M211" s="104">
        <f t="shared" si="52"/>
        <v>0.33400000000000002</v>
      </c>
      <c r="N211" s="104">
        <f t="shared" si="52"/>
        <v>1.9240000000000002</v>
      </c>
      <c r="O211" s="104">
        <f t="shared" si="52"/>
        <v>691.3</v>
      </c>
      <c r="P211" s="104">
        <f t="shared" si="52"/>
        <v>759.99</v>
      </c>
      <c r="Q211" s="104">
        <f t="shared" si="52"/>
        <v>2.7370000000000001</v>
      </c>
      <c r="R211" s="104">
        <f t="shared" si="52"/>
        <v>5.4999999999999993E-2</v>
      </c>
      <c r="S211" s="104">
        <f t="shared" si="52"/>
        <v>149.6</v>
      </c>
      <c r="T211" s="104">
        <f t="shared" si="52"/>
        <v>3.49</v>
      </c>
      <c r="U211" s="23"/>
      <c r="V211" s="24"/>
      <c r="W211" s="24"/>
      <c r="X211" s="24"/>
    </row>
    <row r="212" spans="1:24" s="2" customFormat="1" ht="11.25" customHeight="1">
      <c r="A212" s="185" t="s">
        <v>54</v>
      </c>
      <c r="B212" s="186"/>
      <c r="C212" s="186"/>
      <c r="D212" s="187"/>
      <c r="E212" s="162"/>
      <c r="F212" s="106">
        <f t="shared" ref="F212:T212" si="53">F211/F229</f>
        <v>0.28333333333333333</v>
      </c>
      <c r="G212" s="108">
        <f t="shared" si="53"/>
        <v>0.28684782608695653</v>
      </c>
      <c r="H212" s="108">
        <f t="shared" si="53"/>
        <v>0.16624020887728458</v>
      </c>
      <c r="I212" s="108">
        <f t="shared" si="53"/>
        <v>0.2184779411764706</v>
      </c>
      <c r="J212" s="108">
        <f t="shared" si="53"/>
        <v>0.28571428571428575</v>
      </c>
      <c r="K212" s="108">
        <f t="shared" si="53"/>
        <v>0.62749999999999995</v>
      </c>
      <c r="L212" s="108">
        <f t="shared" si="53"/>
        <v>0.12828571428571428</v>
      </c>
      <c r="M212" s="108">
        <f t="shared" si="53"/>
        <v>0.37111111111111111</v>
      </c>
      <c r="N212" s="108">
        <f t="shared" si="53"/>
        <v>0.16033333333333336</v>
      </c>
      <c r="O212" s="108">
        <f t="shared" si="53"/>
        <v>0.57608333333333328</v>
      </c>
      <c r="P212" s="108">
        <f t="shared" si="53"/>
        <v>0.63332500000000003</v>
      </c>
      <c r="Q212" s="108">
        <f t="shared" si="53"/>
        <v>0.19550000000000001</v>
      </c>
      <c r="R212" s="108">
        <f t="shared" si="53"/>
        <v>0.54999999999999993</v>
      </c>
      <c r="S212" s="108">
        <f t="shared" si="53"/>
        <v>0.49866666666666665</v>
      </c>
      <c r="T212" s="108">
        <f t="shared" si="53"/>
        <v>0.19388888888888889</v>
      </c>
      <c r="U212" s="28"/>
      <c r="V212" s="24"/>
      <c r="W212" s="24"/>
      <c r="X212" s="24"/>
    </row>
    <row r="213" spans="1:24" s="2" customFormat="1" ht="11.25" customHeight="1">
      <c r="A213" s="235" t="s">
        <v>24</v>
      </c>
      <c r="B213" s="236"/>
      <c r="C213" s="236"/>
      <c r="D213" s="236"/>
      <c r="E213" s="236"/>
      <c r="F213" s="236"/>
      <c r="G213" s="236"/>
      <c r="H213" s="236"/>
      <c r="I213" s="236"/>
      <c r="J213" s="236"/>
      <c r="K213" s="236"/>
      <c r="L213" s="236"/>
      <c r="M213" s="236"/>
      <c r="N213" s="236"/>
      <c r="O213" s="236"/>
      <c r="P213" s="236"/>
      <c r="Q213" s="236"/>
      <c r="R213" s="236"/>
      <c r="S213" s="236"/>
      <c r="T213" s="237"/>
      <c r="U213" s="11"/>
      <c r="V213" s="21"/>
      <c r="W213" s="21"/>
      <c r="X213" s="21"/>
    </row>
    <row r="214" spans="1:24" s="57" customFormat="1" ht="28.5" customHeight="1">
      <c r="A214" s="96">
        <v>49</v>
      </c>
      <c r="B214" s="190" t="s">
        <v>110</v>
      </c>
      <c r="C214" s="191"/>
      <c r="D214" s="97">
        <v>100</v>
      </c>
      <c r="E214" s="98">
        <v>12.48</v>
      </c>
      <c r="F214" s="98">
        <v>1.5669999999999999</v>
      </c>
      <c r="G214" s="98">
        <v>12.03</v>
      </c>
      <c r="H214" s="98">
        <v>8.7799999999999994</v>
      </c>
      <c r="I214" s="98">
        <v>149.69999999999999</v>
      </c>
      <c r="J214" s="99">
        <v>0.05</v>
      </c>
      <c r="K214" s="98">
        <v>0.05</v>
      </c>
      <c r="L214" s="98">
        <v>20.667000000000002</v>
      </c>
      <c r="M214" s="99">
        <v>2E-3</v>
      </c>
      <c r="N214" s="97">
        <v>2.5</v>
      </c>
      <c r="O214" s="98">
        <v>32.83</v>
      </c>
      <c r="P214" s="98">
        <v>33.85</v>
      </c>
      <c r="Q214" s="99">
        <v>0.5</v>
      </c>
      <c r="R214" s="99">
        <v>2E-3</v>
      </c>
      <c r="S214" s="98">
        <v>16.63</v>
      </c>
      <c r="T214" s="98">
        <v>0.56000000000000005</v>
      </c>
      <c r="U214" s="55"/>
      <c r="V214" s="56"/>
      <c r="W214" s="56"/>
      <c r="X214" s="56"/>
    </row>
    <row r="215" spans="1:24" s="57" customFormat="1" ht="22.5" customHeight="1">
      <c r="A215" s="71">
        <v>96</v>
      </c>
      <c r="B215" s="190" t="s">
        <v>93</v>
      </c>
      <c r="C215" s="191"/>
      <c r="D215" s="75">
        <v>250</v>
      </c>
      <c r="E215" s="73">
        <v>15.3</v>
      </c>
      <c r="F215" s="73">
        <v>2.6</v>
      </c>
      <c r="G215" s="73">
        <v>6.13</v>
      </c>
      <c r="H215" s="73">
        <v>17.03</v>
      </c>
      <c r="I215" s="73">
        <v>133.69</v>
      </c>
      <c r="J215" s="75">
        <v>0.12</v>
      </c>
      <c r="K215" s="75">
        <v>7.3999999999999996E-2</v>
      </c>
      <c r="L215" s="73">
        <v>16</v>
      </c>
      <c r="M215" s="74">
        <v>0.04</v>
      </c>
      <c r="N215" s="73">
        <v>0</v>
      </c>
      <c r="O215" s="73">
        <v>25.3</v>
      </c>
      <c r="P215" s="73">
        <v>71.099999999999994</v>
      </c>
      <c r="Q215" s="73">
        <v>0.38</v>
      </c>
      <c r="R215" s="74">
        <v>3.0000000000000001E-3</v>
      </c>
      <c r="S215" s="73">
        <v>26.7</v>
      </c>
      <c r="T215" s="73">
        <v>0.95</v>
      </c>
      <c r="U215" s="58"/>
      <c r="V215" s="59"/>
      <c r="W215" s="59"/>
      <c r="X215" s="59"/>
    </row>
    <row r="216" spans="1:24" s="57" customFormat="1" ht="12.75" customHeight="1">
      <c r="A216" s="71">
        <v>293</v>
      </c>
      <c r="B216" s="190" t="s">
        <v>81</v>
      </c>
      <c r="C216" s="191"/>
      <c r="D216" s="72">
        <v>115</v>
      </c>
      <c r="E216" s="73">
        <v>48.11</v>
      </c>
      <c r="F216" s="73">
        <v>24.29</v>
      </c>
      <c r="G216" s="73">
        <v>13.88</v>
      </c>
      <c r="H216" s="73">
        <v>0.21</v>
      </c>
      <c r="I216" s="73">
        <v>223.01</v>
      </c>
      <c r="J216" s="73">
        <v>0.11</v>
      </c>
      <c r="K216" s="73">
        <v>0.24</v>
      </c>
      <c r="L216" s="73">
        <v>2.8000000000000001E-2</v>
      </c>
      <c r="M216" s="72">
        <v>0</v>
      </c>
      <c r="N216" s="75">
        <v>0</v>
      </c>
      <c r="O216" s="112">
        <v>24.86</v>
      </c>
      <c r="P216" s="73">
        <v>2.04</v>
      </c>
      <c r="Q216" s="72">
        <v>0</v>
      </c>
      <c r="R216" s="72">
        <v>0</v>
      </c>
      <c r="S216" s="73">
        <v>21.82</v>
      </c>
      <c r="T216" s="73">
        <v>2.37</v>
      </c>
      <c r="U216" s="58"/>
      <c r="V216" s="59"/>
      <c r="W216" s="59"/>
      <c r="X216" s="59"/>
    </row>
    <row r="217" spans="1:24" s="68" customFormat="1">
      <c r="A217" s="164">
        <v>171</v>
      </c>
      <c r="B217" s="218" t="s">
        <v>96</v>
      </c>
      <c r="C217" s="219"/>
      <c r="D217" s="165">
        <v>180</v>
      </c>
      <c r="E217" s="166">
        <v>10.97</v>
      </c>
      <c r="F217" s="166">
        <v>7.88</v>
      </c>
      <c r="G217" s="167">
        <v>5.0279999999999996</v>
      </c>
      <c r="H217" s="166">
        <v>38.78</v>
      </c>
      <c r="I217" s="166">
        <v>231.92</v>
      </c>
      <c r="J217" s="166">
        <v>0.36</v>
      </c>
      <c r="K217" s="166">
        <v>0.05</v>
      </c>
      <c r="L217" s="166">
        <v>0</v>
      </c>
      <c r="M217" s="167">
        <v>3.5999999999999997E-2</v>
      </c>
      <c r="N217" s="166">
        <v>3.06</v>
      </c>
      <c r="O217" s="166">
        <v>27.35</v>
      </c>
      <c r="P217" s="166">
        <v>188.43</v>
      </c>
      <c r="Q217" s="166">
        <v>1.0680000000000001</v>
      </c>
      <c r="R217" s="167">
        <v>2E-3</v>
      </c>
      <c r="S217" s="166">
        <v>78.849999999999994</v>
      </c>
      <c r="T217" s="166">
        <v>2.64</v>
      </c>
      <c r="U217" s="66"/>
      <c r="V217" s="67"/>
      <c r="W217" s="67"/>
      <c r="X217" s="67"/>
    </row>
    <row r="218" spans="1:24" s="65" customFormat="1">
      <c r="A218" s="133">
        <v>699</v>
      </c>
      <c r="B218" s="230" t="s">
        <v>74</v>
      </c>
      <c r="C218" s="231"/>
      <c r="D218" s="134">
        <v>200</v>
      </c>
      <c r="E218" s="135">
        <v>6.4</v>
      </c>
      <c r="F218" s="135">
        <v>0.1</v>
      </c>
      <c r="G218" s="136">
        <v>0</v>
      </c>
      <c r="H218" s="137">
        <v>15.7</v>
      </c>
      <c r="I218" s="135">
        <v>63.2</v>
      </c>
      <c r="J218" s="136">
        <v>1.7999999999999999E-2</v>
      </c>
      <c r="K218" s="136">
        <v>1.2E-2</v>
      </c>
      <c r="L218" s="137">
        <v>8</v>
      </c>
      <c r="M218" s="136">
        <v>0</v>
      </c>
      <c r="N218" s="135">
        <v>0.2</v>
      </c>
      <c r="O218" s="135">
        <v>10.8</v>
      </c>
      <c r="P218" s="135">
        <v>1.7</v>
      </c>
      <c r="Q218" s="135">
        <v>0</v>
      </c>
      <c r="R218" s="138">
        <v>0</v>
      </c>
      <c r="S218" s="135">
        <v>5.8</v>
      </c>
      <c r="T218" s="135">
        <v>1.6</v>
      </c>
    </row>
    <row r="219" spans="1:24" s="57" customFormat="1" ht="11.25" customHeight="1">
      <c r="A219" s="111" t="s">
        <v>57</v>
      </c>
      <c r="B219" s="190" t="s">
        <v>42</v>
      </c>
      <c r="C219" s="191"/>
      <c r="D219" s="72">
        <v>40</v>
      </c>
      <c r="E219" s="73">
        <v>2.56</v>
      </c>
      <c r="F219" s="73">
        <f>2.64*D219/40</f>
        <v>2.64</v>
      </c>
      <c r="G219" s="73">
        <f>0.48*D219/40</f>
        <v>0.48</v>
      </c>
      <c r="H219" s="73">
        <f>13.68*D219/40</f>
        <v>13.680000000000001</v>
      </c>
      <c r="I219" s="112">
        <f>F219*4+G219*9+H219*4</f>
        <v>69.600000000000009</v>
      </c>
      <c r="J219" s="75">
        <f>0.08*D219/40</f>
        <v>0.08</v>
      </c>
      <c r="K219" s="73">
        <f>0.04*D219/40</f>
        <v>0.04</v>
      </c>
      <c r="L219" s="72">
        <v>0</v>
      </c>
      <c r="M219" s="72">
        <v>0</v>
      </c>
      <c r="N219" s="73">
        <f>2.4*D219/40</f>
        <v>2.4</v>
      </c>
      <c r="O219" s="73">
        <f>14*D219/40</f>
        <v>14</v>
      </c>
      <c r="P219" s="73">
        <f>63.2*D219/40</f>
        <v>63.2</v>
      </c>
      <c r="Q219" s="73">
        <f>1.2*D219/40</f>
        <v>1.2</v>
      </c>
      <c r="R219" s="74">
        <f>0.001*D219/40</f>
        <v>1E-3</v>
      </c>
      <c r="S219" s="73">
        <f>9.4*D219/40</f>
        <v>9.4</v>
      </c>
      <c r="T219" s="75">
        <f>0.78*D219/40</f>
        <v>0.78</v>
      </c>
      <c r="U219" s="60"/>
      <c r="V219" s="61"/>
      <c r="W219" s="61"/>
      <c r="X219" s="61"/>
    </row>
    <row r="220" spans="1:24" s="57" customFormat="1" ht="11.25" customHeight="1">
      <c r="A220" s="100" t="s">
        <v>57</v>
      </c>
      <c r="B220" s="190" t="s">
        <v>46</v>
      </c>
      <c r="C220" s="191"/>
      <c r="D220" s="72">
        <v>20</v>
      </c>
      <c r="E220" s="73">
        <v>2.1800000000000002</v>
      </c>
      <c r="F220" s="73">
        <f>1.52*D220/30</f>
        <v>1.0133333333333332</v>
      </c>
      <c r="G220" s="74">
        <f>0.16*D220/30</f>
        <v>0.10666666666666667</v>
      </c>
      <c r="H220" s="74">
        <f>9.84*D220/30</f>
        <v>6.5600000000000005</v>
      </c>
      <c r="I220" s="74">
        <f>F220*4+G220*9+H220*4</f>
        <v>31.253333333333334</v>
      </c>
      <c r="J220" s="74">
        <f>0.02*D220/30</f>
        <v>1.3333333333333334E-2</v>
      </c>
      <c r="K220" s="74">
        <f>0.01*D220/30</f>
        <v>6.6666666666666671E-3</v>
      </c>
      <c r="L220" s="74">
        <f>0.44*D220/30</f>
        <v>0.29333333333333333</v>
      </c>
      <c r="M220" s="74">
        <v>0</v>
      </c>
      <c r="N220" s="74">
        <f>0.7*D220/30</f>
        <v>0.46666666666666667</v>
      </c>
      <c r="O220" s="74">
        <f>4*D220/30</f>
        <v>2.6666666666666665</v>
      </c>
      <c r="P220" s="74">
        <f>13*D220/30</f>
        <v>8.6666666666666661</v>
      </c>
      <c r="Q220" s="74">
        <f>0.008*D220/30</f>
        <v>5.3333333333333332E-3</v>
      </c>
      <c r="R220" s="74">
        <f>0.001*D220/30</f>
        <v>6.6666666666666664E-4</v>
      </c>
      <c r="S220" s="74">
        <v>0</v>
      </c>
      <c r="T220" s="74">
        <f>0.22*D220/30</f>
        <v>0.14666666666666667</v>
      </c>
      <c r="U220" s="58"/>
      <c r="V220" s="59"/>
      <c r="W220" s="59"/>
      <c r="X220" s="59"/>
    </row>
    <row r="221" spans="1:24" s="2" customFormat="1" ht="22.5" customHeight="1">
      <c r="A221" s="101" t="s">
        <v>25</v>
      </c>
      <c r="B221" s="102"/>
      <c r="C221" s="102"/>
      <c r="D221" s="125">
        <f t="shared" ref="D221:I221" si="54">SUM(D214:D220)</f>
        <v>905</v>
      </c>
      <c r="E221" s="168">
        <f t="shared" si="54"/>
        <v>98.000000000000014</v>
      </c>
      <c r="F221" s="113">
        <f t="shared" si="54"/>
        <v>40.090333333333341</v>
      </c>
      <c r="G221" s="114">
        <f t="shared" si="54"/>
        <v>37.654666666666664</v>
      </c>
      <c r="H221" s="114">
        <f t="shared" si="54"/>
        <v>100.74000000000002</v>
      </c>
      <c r="I221" s="114">
        <f t="shared" si="54"/>
        <v>902.37333333333333</v>
      </c>
      <c r="J221" s="113">
        <f t="shared" ref="J221:T221" si="55">SUM(J214:J220)</f>
        <v>0.75133333333333319</v>
      </c>
      <c r="K221" s="113">
        <f t="shared" si="55"/>
        <v>0.47266666666666662</v>
      </c>
      <c r="L221" s="114">
        <f t="shared" si="55"/>
        <v>44.988333333333337</v>
      </c>
      <c r="M221" s="113">
        <f t="shared" si="55"/>
        <v>7.8E-2</v>
      </c>
      <c r="N221" s="116">
        <f t="shared" si="55"/>
        <v>8.6266666666666669</v>
      </c>
      <c r="O221" s="113">
        <f t="shared" si="55"/>
        <v>137.80666666666664</v>
      </c>
      <c r="P221" s="114">
        <f t="shared" si="55"/>
        <v>368.98666666666668</v>
      </c>
      <c r="Q221" s="113">
        <f t="shared" si="55"/>
        <v>3.1533333333333329</v>
      </c>
      <c r="R221" s="113">
        <f t="shared" si="55"/>
        <v>8.6666666666666663E-3</v>
      </c>
      <c r="S221" s="113">
        <f t="shared" si="55"/>
        <v>159.20000000000002</v>
      </c>
      <c r="T221" s="113">
        <f t="shared" si="55"/>
        <v>9.0466666666666651</v>
      </c>
      <c r="U221" s="23"/>
      <c r="V221" s="24"/>
      <c r="W221" s="24"/>
      <c r="X221" s="24"/>
    </row>
    <row r="222" spans="1:24" s="2" customFormat="1">
      <c r="A222" s="185" t="s">
        <v>54</v>
      </c>
      <c r="B222" s="186"/>
      <c r="C222" s="186"/>
      <c r="D222" s="187"/>
      <c r="E222" s="169">
        <f>98-E221</f>
        <v>0</v>
      </c>
      <c r="F222" s="106">
        <f t="shared" ref="F222:T222" si="56">F221/F229</f>
        <v>0.4454481481481482</v>
      </c>
      <c r="G222" s="108">
        <f t="shared" si="56"/>
        <v>0.40928985507246374</v>
      </c>
      <c r="H222" s="108">
        <f t="shared" si="56"/>
        <v>0.26302872062663191</v>
      </c>
      <c r="I222" s="108">
        <f t="shared" si="56"/>
        <v>0.33175490196078433</v>
      </c>
      <c r="J222" s="108">
        <f t="shared" si="56"/>
        <v>0.53666666666666663</v>
      </c>
      <c r="K222" s="108">
        <f t="shared" si="56"/>
        <v>0.29541666666666661</v>
      </c>
      <c r="L222" s="108">
        <f t="shared" si="56"/>
        <v>0.64269047619047626</v>
      </c>
      <c r="M222" s="108">
        <f t="shared" si="56"/>
        <v>8.666666666666667E-2</v>
      </c>
      <c r="N222" s="108">
        <f t="shared" si="56"/>
        <v>0.71888888888888891</v>
      </c>
      <c r="O222" s="108">
        <f t="shared" si="56"/>
        <v>0.11483888888888887</v>
      </c>
      <c r="P222" s="108">
        <f t="shared" si="56"/>
        <v>0.30748888888888892</v>
      </c>
      <c r="Q222" s="108">
        <f t="shared" si="56"/>
        <v>0.22523809523809521</v>
      </c>
      <c r="R222" s="108">
        <f t="shared" si="56"/>
        <v>8.6666666666666656E-2</v>
      </c>
      <c r="S222" s="108">
        <f t="shared" si="56"/>
        <v>0.53066666666666673</v>
      </c>
      <c r="T222" s="108">
        <f t="shared" si="56"/>
        <v>0.50259259259259248</v>
      </c>
      <c r="U222" s="28"/>
      <c r="V222" s="24"/>
      <c r="W222" s="24"/>
      <c r="X222" s="24"/>
    </row>
    <row r="223" spans="1:24" s="2" customFormat="1" ht="15" customHeight="1">
      <c r="A223" s="209" t="s">
        <v>26</v>
      </c>
      <c r="B223" s="210"/>
      <c r="C223" s="210"/>
      <c r="D223" s="210"/>
      <c r="E223" s="210"/>
      <c r="F223" s="210"/>
      <c r="G223" s="210"/>
      <c r="H223" s="210"/>
      <c r="I223" s="210"/>
      <c r="J223" s="210"/>
      <c r="K223" s="210"/>
      <c r="L223" s="210"/>
      <c r="M223" s="210"/>
      <c r="N223" s="210"/>
      <c r="O223" s="210"/>
      <c r="P223" s="210"/>
      <c r="Q223" s="210"/>
      <c r="R223" s="210"/>
      <c r="S223" s="210"/>
      <c r="T223" s="211"/>
      <c r="U223" s="6"/>
      <c r="V223" s="19"/>
      <c r="W223" s="19"/>
      <c r="X223" s="19"/>
    </row>
    <row r="224" spans="1:24" s="42" customFormat="1" ht="11.25" customHeight="1">
      <c r="A224" s="117"/>
      <c r="B224" s="238"/>
      <c r="C224" s="239"/>
      <c r="D224" s="118"/>
      <c r="E224" s="119"/>
      <c r="F224" s="119"/>
      <c r="G224" s="119"/>
      <c r="H224" s="119"/>
      <c r="I224" s="119"/>
      <c r="J224" s="119"/>
      <c r="K224" s="119"/>
      <c r="L224" s="122"/>
      <c r="M224" s="119"/>
      <c r="N224" s="121"/>
      <c r="O224" s="122"/>
      <c r="P224" s="119"/>
      <c r="Q224" s="122"/>
      <c r="R224" s="118"/>
      <c r="S224" s="119"/>
      <c r="T224" s="119"/>
    </row>
    <row r="225" spans="1:24" s="42" customFormat="1" ht="11.25" customHeight="1">
      <c r="A225" s="123"/>
      <c r="B225" s="232"/>
      <c r="C225" s="233"/>
      <c r="D225" s="109"/>
      <c r="E225" s="110"/>
      <c r="F225" s="110"/>
      <c r="G225" s="110"/>
      <c r="H225" s="110"/>
      <c r="I225" s="110"/>
      <c r="J225" s="110"/>
      <c r="K225" s="110"/>
      <c r="L225" s="110"/>
      <c r="M225" s="110"/>
      <c r="N225" s="110"/>
      <c r="O225" s="110"/>
      <c r="P225" s="110"/>
      <c r="Q225" s="110"/>
      <c r="R225" s="110"/>
      <c r="S225" s="110"/>
      <c r="T225" s="110"/>
    </row>
    <row r="226" spans="1:24" s="1" customFormat="1" ht="11.25" customHeight="1">
      <c r="A226" s="101" t="s">
        <v>27</v>
      </c>
      <c r="B226" s="102"/>
      <c r="C226" s="102"/>
      <c r="D226" s="103">
        <f t="shared" ref="D226:T226" si="57">SUM(D224:D225)</f>
        <v>0</v>
      </c>
      <c r="E226" s="104">
        <f t="shared" si="57"/>
        <v>0</v>
      </c>
      <c r="F226" s="113">
        <f t="shared" si="57"/>
        <v>0</v>
      </c>
      <c r="G226" s="114">
        <f t="shared" si="57"/>
        <v>0</v>
      </c>
      <c r="H226" s="114">
        <f t="shared" si="57"/>
        <v>0</v>
      </c>
      <c r="I226" s="114">
        <f t="shared" si="57"/>
        <v>0</v>
      </c>
      <c r="J226" s="114">
        <f t="shared" si="57"/>
        <v>0</v>
      </c>
      <c r="K226" s="114">
        <f t="shared" si="57"/>
        <v>0</v>
      </c>
      <c r="L226" s="114">
        <f t="shared" si="57"/>
        <v>0</v>
      </c>
      <c r="M226" s="114">
        <f t="shared" si="57"/>
        <v>0</v>
      </c>
      <c r="N226" s="114">
        <f t="shared" si="57"/>
        <v>0</v>
      </c>
      <c r="O226" s="114">
        <f t="shared" si="57"/>
        <v>0</v>
      </c>
      <c r="P226" s="114">
        <f t="shared" si="57"/>
        <v>0</v>
      </c>
      <c r="Q226" s="114">
        <f t="shared" si="57"/>
        <v>0</v>
      </c>
      <c r="R226" s="116">
        <f t="shared" si="57"/>
        <v>0</v>
      </c>
      <c r="S226" s="114">
        <f t="shared" si="57"/>
        <v>0</v>
      </c>
      <c r="T226" s="114">
        <f t="shared" si="57"/>
        <v>0</v>
      </c>
      <c r="U226" s="23"/>
      <c r="V226" s="24"/>
      <c r="W226" s="24"/>
      <c r="X226" s="24"/>
    </row>
    <row r="227" spans="1:24" s="1" customFormat="1" ht="11.25" customHeight="1">
      <c r="A227" s="185" t="s">
        <v>54</v>
      </c>
      <c r="B227" s="186"/>
      <c r="C227" s="186"/>
      <c r="D227" s="187"/>
      <c r="E227" s="124"/>
      <c r="F227" s="107">
        <f>F226/F229</f>
        <v>0</v>
      </c>
      <c r="G227" s="108">
        <f t="shared" ref="G227:T227" si="58">G226/G229</f>
        <v>0</v>
      </c>
      <c r="H227" s="108">
        <f t="shared" si="58"/>
        <v>0</v>
      </c>
      <c r="I227" s="108">
        <f t="shared" si="58"/>
        <v>0</v>
      </c>
      <c r="J227" s="108">
        <f t="shared" si="58"/>
        <v>0</v>
      </c>
      <c r="K227" s="108">
        <f t="shared" si="58"/>
        <v>0</v>
      </c>
      <c r="L227" s="108">
        <f t="shared" si="58"/>
        <v>0</v>
      </c>
      <c r="M227" s="108">
        <f t="shared" si="58"/>
        <v>0</v>
      </c>
      <c r="N227" s="108">
        <f t="shared" si="58"/>
        <v>0</v>
      </c>
      <c r="O227" s="108">
        <f t="shared" si="58"/>
        <v>0</v>
      </c>
      <c r="P227" s="108">
        <f t="shared" si="58"/>
        <v>0</v>
      </c>
      <c r="Q227" s="108">
        <f t="shared" si="58"/>
        <v>0</v>
      </c>
      <c r="R227" s="108">
        <f t="shared" si="58"/>
        <v>0</v>
      </c>
      <c r="S227" s="108">
        <f t="shared" si="58"/>
        <v>0</v>
      </c>
      <c r="T227" s="108">
        <f t="shared" si="58"/>
        <v>0</v>
      </c>
      <c r="U227" s="28"/>
      <c r="V227" s="24"/>
      <c r="W227" s="24"/>
      <c r="X227" s="24"/>
    </row>
    <row r="228" spans="1:24" s="1" customFormat="1" ht="11.25" customHeight="1">
      <c r="A228" s="101" t="s">
        <v>53</v>
      </c>
      <c r="B228" s="102"/>
      <c r="C228" s="102"/>
      <c r="D228" s="125">
        <f>D221+D211</f>
        <v>1565</v>
      </c>
      <c r="E228" s="126">
        <f>E221+E211</f>
        <v>176.3</v>
      </c>
      <c r="F228" s="113">
        <f t="shared" ref="F228:T228" si="59">SUM(F211,F221,F226)</f>
        <v>65.590333333333348</v>
      </c>
      <c r="G228" s="114">
        <f t="shared" si="59"/>
        <v>64.044666666666672</v>
      </c>
      <c r="H228" s="114">
        <f t="shared" si="59"/>
        <v>164.41000000000003</v>
      </c>
      <c r="I228" s="114">
        <f t="shared" si="59"/>
        <v>1496.6333333333332</v>
      </c>
      <c r="J228" s="113">
        <f t="shared" si="59"/>
        <v>1.1513333333333331</v>
      </c>
      <c r="K228" s="113">
        <f t="shared" si="59"/>
        <v>1.4766666666666666</v>
      </c>
      <c r="L228" s="114">
        <f t="shared" si="59"/>
        <v>53.968333333333334</v>
      </c>
      <c r="M228" s="113">
        <f t="shared" si="59"/>
        <v>0.41200000000000003</v>
      </c>
      <c r="N228" s="113">
        <f t="shared" si="59"/>
        <v>10.550666666666666</v>
      </c>
      <c r="O228" s="114">
        <f t="shared" si="59"/>
        <v>829.10666666666657</v>
      </c>
      <c r="P228" s="114">
        <f t="shared" si="59"/>
        <v>1128.9766666666667</v>
      </c>
      <c r="Q228" s="113">
        <f t="shared" si="59"/>
        <v>5.8903333333333325</v>
      </c>
      <c r="R228" s="116">
        <f t="shared" si="59"/>
        <v>6.3666666666666663E-2</v>
      </c>
      <c r="S228" s="113">
        <f t="shared" si="59"/>
        <v>308.8</v>
      </c>
      <c r="T228" s="113">
        <f t="shared" si="59"/>
        <v>12.536666666666665</v>
      </c>
      <c r="U228" s="25"/>
      <c r="V228" s="24"/>
      <c r="W228" s="24"/>
      <c r="X228" s="24"/>
    </row>
    <row r="229" spans="1:24" s="1" customFormat="1" ht="11.25" customHeight="1">
      <c r="A229" s="220" t="s">
        <v>55</v>
      </c>
      <c r="B229" s="221"/>
      <c r="C229" s="221"/>
      <c r="D229" s="222"/>
      <c r="E229" s="127"/>
      <c r="F229" s="73">
        <v>90</v>
      </c>
      <c r="G229" s="112">
        <v>92</v>
      </c>
      <c r="H229" s="112">
        <v>383</v>
      </c>
      <c r="I229" s="112">
        <v>2720</v>
      </c>
      <c r="J229" s="73">
        <v>1.4</v>
      </c>
      <c r="K229" s="73">
        <v>1.6</v>
      </c>
      <c r="L229" s="72">
        <v>70</v>
      </c>
      <c r="M229" s="73">
        <v>0.9</v>
      </c>
      <c r="N229" s="72">
        <v>12</v>
      </c>
      <c r="O229" s="72">
        <v>1200</v>
      </c>
      <c r="P229" s="72">
        <v>1200</v>
      </c>
      <c r="Q229" s="72">
        <v>14</v>
      </c>
      <c r="R229" s="112">
        <v>0.1</v>
      </c>
      <c r="S229" s="72">
        <v>300</v>
      </c>
      <c r="T229" s="73">
        <v>18</v>
      </c>
      <c r="U229" s="34"/>
      <c r="V229" s="35"/>
      <c r="W229" s="35"/>
      <c r="X229" s="35"/>
    </row>
    <row r="230" spans="1:24" s="1" customFormat="1" ht="11.25" customHeight="1">
      <c r="A230" s="185" t="s">
        <v>54</v>
      </c>
      <c r="B230" s="186"/>
      <c r="C230" s="186"/>
      <c r="D230" s="187"/>
      <c r="E230" s="124"/>
      <c r="F230" s="107">
        <f t="shared" ref="F230:T230" si="60">F228/F229</f>
        <v>0.7287814814814817</v>
      </c>
      <c r="G230" s="108">
        <f t="shared" si="60"/>
        <v>0.69613768115942032</v>
      </c>
      <c r="H230" s="108">
        <f t="shared" si="60"/>
        <v>0.42926892950391654</v>
      </c>
      <c r="I230" s="108">
        <f t="shared" si="60"/>
        <v>0.55023284313725485</v>
      </c>
      <c r="J230" s="108">
        <f t="shared" si="60"/>
        <v>0.82238095238095221</v>
      </c>
      <c r="K230" s="108">
        <f t="shared" si="60"/>
        <v>0.92291666666666661</v>
      </c>
      <c r="L230" s="108">
        <f t="shared" si="60"/>
        <v>0.77097619047619048</v>
      </c>
      <c r="M230" s="128">
        <f t="shared" si="60"/>
        <v>0.45777777777777778</v>
      </c>
      <c r="N230" s="108">
        <f t="shared" si="60"/>
        <v>0.87922222222222224</v>
      </c>
      <c r="O230" s="108">
        <f t="shared" si="60"/>
        <v>0.6909222222222221</v>
      </c>
      <c r="P230" s="108">
        <f t="shared" si="60"/>
        <v>0.94081388888888895</v>
      </c>
      <c r="Q230" s="108">
        <f t="shared" si="60"/>
        <v>0.42073809523809519</v>
      </c>
      <c r="R230" s="128">
        <f t="shared" si="60"/>
        <v>0.6366666666666666</v>
      </c>
      <c r="S230" s="108">
        <f t="shared" si="60"/>
        <v>1.0293333333333334</v>
      </c>
      <c r="T230" s="128">
        <f t="shared" si="60"/>
        <v>0.69648148148148137</v>
      </c>
      <c r="U230" s="26"/>
      <c r="V230" s="27"/>
      <c r="W230" s="27"/>
      <c r="X230" s="27"/>
    </row>
    <row r="231" spans="1:24" s="1" customFormat="1" ht="11.25" customHeight="1">
      <c r="A231" s="208" t="s">
        <v>38</v>
      </c>
      <c r="B231" s="208"/>
      <c r="C231" s="208"/>
      <c r="D231" s="208"/>
      <c r="E231" s="208"/>
      <c r="F231" s="208"/>
      <c r="G231" s="208"/>
      <c r="H231" s="208"/>
      <c r="I231" s="208"/>
      <c r="J231" s="208"/>
      <c r="K231" s="208"/>
      <c r="L231" s="208"/>
      <c r="M231" s="208"/>
      <c r="N231" s="208"/>
      <c r="O231" s="208"/>
      <c r="P231" s="208"/>
      <c r="Q231" s="208"/>
      <c r="R231" s="208"/>
      <c r="S231" s="208"/>
      <c r="T231" s="208"/>
      <c r="U231" s="8"/>
      <c r="V231" s="20"/>
      <c r="W231" s="20"/>
      <c r="X231" s="20"/>
    </row>
    <row r="232" spans="1:24" s="1" customFormat="1" ht="11.25" customHeight="1">
      <c r="A232" s="87" t="s">
        <v>48</v>
      </c>
      <c r="B232" s="88"/>
      <c r="C232" s="88"/>
      <c r="D232" s="82"/>
      <c r="E232" s="82"/>
      <c r="F232" s="85"/>
      <c r="G232" s="189" t="s">
        <v>31</v>
      </c>
      <c r="H232" s="189"/>
      <c r="I232" s="189"/>
      <c r="J232" s="84"/>
      <c r="K232" s="84"/>
      <c r="L232" s="207" t="s">
        <v>1</v>
      </c>
      <c r="M232" s="207"/>
      <c r="N232" s="188" t="str">
        <f>N201</f>
        <v>осенне-зимний</v>
      </c>
      <c r="O232" s="188"/>
      <c r="P232" s="188"/>
      <c r="Q232" s="188"/>
      <c r="R232" s="84"/>
      <c r="S232" s="84"/>
      <c r="T232" s="84"/>
      <c r="U232" s="9"/>
      <c r="V232" s="15"/>
      <c r="W232" s="15"/>
      <c r="X232" s="15"/>
    </row>
    <row r="233" spans="1:24" s="1" customFormat="1" ht="11.25" customHeight="1">
      <c r="A233" s="88"/>
      <c r="B233" s="88"/>
      <c r="C233" s="88"/>
      <c r="D233" s="206" t="s">
        <v>2</v>
      </c>
      <c r="E233" s="206"/>
      <c r="F233" s="206"/>
      <c r="G233" s="89">
        <v>2</v>
      </c>
      <c r="H233" s="84"/>
      <c r="I233" s="82"/>
      <c r="J233" s="82"/>
      <c r="K233" s="82"/>
      <c r="L233" s="206" t="s">
        <v>3</v>
      </c>
      <c r="M233" s="206"/>
      <c r="N233" s="189" t="str">
        <f>N202</f>
        <v>с 7-11 лет</v>
      </c>
      <c r="O233" s="189"/>
      <c r="P233" s="189"/>
      <c r="Q233" s="189"/>
      <c r="R233" s="189"/>
      <c r="S233" s="189"/>
      <c r="T233" s="189"/>
      <c r="U233" s="10"/>
      <c r="V233" s="16"/>
      <c r="W233" s="16"/>
      <c r="X233" s="16"/>
    </row>
    <row r="234" spans="1:24" s="1" customFormat="1" ht="21.75" customHeight="1">
      <c r="A234" s="199" t="s">
        <v>4</v>
      </c>
      <c r="B234" s="195" t="s">
        <v>5</v>
      </c>
      <c r="C234" s="196"/>
      <c r="D234" s="199" t="s">
        <v>6</v>
      </c>
      <c r="E234" s="90"/>
      <c r="F234" s="202" t="s">
        <v>7</v>
      </c>
      <c r="G234" s="203"/>
      <c r="H234" s="204"/>
      <c r="I234" s="199" t="s">
        <v>8</v>
      </c>
      <c r="J234" s="202" t="s">
        <v>9</v>
      </c>
      <c r="K234" s="203"/>
      <c r="L234" s="203"/>
      <c r="M234" s="203"/>
      <c r="N234" s="204"/>
      <c r="O234" s="202" t="s">
        <v>10</v>
      </c>
      <c r="P234" s="203"/>
      <c r="Q234" s="203"/>
      <c r="R234" s="203"/>
      <c r="S234" s="203"/>
      <c r="T234" s="204"/>
      <c r="U234" s="4"/>
      <c r="V234" s="17"/>
      <c r="W234" s="17"/>
      <c r="X234" s="17"/>
    </row>
    <row r="235" spans="1:24" s="1" customFormat="1" ht="21" customHeight="1">
      <c r="A235" s="200"/>
      <c r="B235" s="197"/>
      <c r="C235" s="198"/>
      <c r="D235" s="200"/>
      <c r="E235" s="91"/>
      <c r="F235" s="92" t="s">
        <v>11</v>
      </c>
      <c r="G235" s="93" t="s">
        <v>12</v>
      </c>
      <c r="H235" s="93" t="s">
        <v>13</v>
      </c>
      <c r="I235" s="200"/>
      <c r="J235" s="93" t="s">
        <v>14</v>
      </c>
      <c r="K235" s="93" t="s">
        <v>49</v>
      </c>
      <c r="L235" s="93" t="s">
        <v>15</v>
      </c>
      <c r="M235" s="93" t="s">
        <v>16</v>
      </c>
      <c r="N235" s="93" t="s">
        <v>17</v>
      </c>
      <c r="O235" s="93" t="s">
        <v>18</v>
      </c>
      <c r="P235" s="93" t="s">
        <v>19</v>
      </c>
      <c r="Q235" s="93" t="s">
        <v>50</v>
      </c>
      <c r="R235" s="93" t="s">
        <v>51</v>
      </c>
      <c r="S235" s="93" t="s">
        <v>20</v>
      </c>
      <c r="T235" s="93" t="s">
        <v>21</v>
      </c>
      <c r="U235" s="4"/>
      <c r="V235" s="17"/>
      <c r="W235" s="17"/>
      <c r="X235" s="17"/>
    </row>
    <row r="236" spans="1:24" s="1" customFormat="1" ht="11.25" customHeight="1">
      <c r="A236" s="71">
        <v>1</v>
      </c>
      <c r="B236" s="212">
        <v>2</v>
      </c>
      <c r="C236" s="213"/>
      <c r="D236" s="94">
        <v>3</v>
      </c>
      <c r="E236" s="94"/>
      <c r="F236" s="95">
        <v>4</v>
      </c>
      <c r="G236" s="94">
        <v>5</v>
      </c>
      <c r="H236" s="94">
        <v>6</v>
      </c>
      <c r="I236" s="94">
        <v>7</v>
      </c>
      <c r="J236" s="94">
        <v>8</v>
      </c>
      <c r="K236" s="94">
        <v>9</v>
      </c>
      <c r="L236" s="94">
        <v>10</v>
      </c>
      <c r="M236" s="94">
        <v>11</v>
      </c>
      <c r="N236" s="94">
        <v>12</v>
      </c>
      <c r="O236" s="94">
        <v>13</v>
      </c>
      <c r="P236" s="94">
        <v>14</v>
      </c>
      <c r="Q236" s="94">
        <v>15</v>
      </c>
      <c r="R236" s="94">
        <v>16</v>
      </c>
      <c r="S236" s="94">
        <v>17</v>
      </c>
      <c r="T236" s="94">
        <v>18</v>
      </c>
      <c r="U236" s="5"/>
      <c r="V236" s="18"/>
      <c r="W236" s="18"/>
      <c r="X236" s="18"/>
    </row>
    <row r="237" spans="1:24" s="1" customFormat="1" ht="11.25" customHeight="1">
      <c r="A237" s="192" t="s">
        <v>75</v>
      </c>
      <c r="B237" s="193"/>
      <c r="C237" s="193"/>
      <c r="D237" s="193"/>
      <c r="E237" s="193"/>
      <c r="F237" s="193"/>
      <c r="G237" s="193"/>
      <c r="H237" s="193"/>
      <c r="I237" s="193"/>
      <c r="J237" s="193"/>
      <c r="K237" s="193"/>
      <c r="L237" s="193"/>
      <c r="M237" s="193"/>
      <c r="N237" s="193"/>
      <c r="O237" s="193"/>
      <c r="P237" s="193"/>
      <c r="Q237" s="193"/>
      <c r="R237" s="193"/>
      <c r="S237" s="193"/>
      <c r="T237" s="194"/>
      <c r="U237" s="6"/>
      <c r="V237" s="19"/>
      <c r="W237" s="19"/>
      <c r="X237" s="19"/>
    </row>
    <row r="238" spans="1:24" s="57" customFormat="1" ht="21.75" customHeight="1">
      <c r="A238" s="71">
        <v>173</v>
      </c>
      <c r="B238" s="190" t="s">
        <v>82</v>
      </c>
      <c r="C238" s="191"/>
      <c r="D238" s="72">
        <v>200</v>
      </c>
      <c r="E238" s="73">
        <v>27.27</v>
      </c>
      <c r="F238" s="73">
        <v>7.3</v>
      </c>
      <c r="G238" s="73">
        <v>12.5</v>
      </c>
      <c r="H238" s="73">
        <v>54.3</v>
      </c>
      <c r="I238" s="73">
        <v>358.9</v>
      </c>
      <c r="J238" s="73">
        <v>0.14000000000000001</v>
      </c>
      <c r="K238" s="73">
        <v>0.18</v>
      </c>
      <c r="L238" s="73">
        <v>3.35</v>
      </c>
      <c r="M238" s="74">
        <v>3.6999999999999998E-2</v>
      </c>
      <c r="N238" s="75">
        <v>1.3</v>
      </c>
      <c r="O238" s="73">
        <v>147.6</v>
      </c>
      <c r="P238" s="73">
        <v>198.6</v>
      </c>
      <c r="Q238" s="72">
        <v>0</v>
      </c>
      <c r="R238" s="74">
        <v>0</v>
      </c>
      <c r="S238" s="73">
        <v>57.8</v>
      </c>
      <c r="T238" s="73">
        <v>1.3</v>
      </c>
      <c r="U238" s="58"/>
      <c r="V238" s="63"/>
      <c r="W238" s="63"/>
      <c r="X238" s="63"/>
    </row>
    <row r="239" spans="1:24" s="57" customFormat="1" ht="12.75" customHeight="1">
      <c r="A239" s="153">
        <v>3</v>
      </c>
      <c r="B239" s="201" t="s">
        <v>92</v>
      </c>
      <c r="C239" s="201"/>
      <c r="D239" s="118">
        <v>38</v>
      </c>
      <c r="E239" s="119">
        <v>15.39</v>
      </c>
      <c r="F239" s="119">
        <v>6.45</v>
      </c>
      <c r="G239" s="154">
        <v>7.27</v>
      </c>
      <c r="H239" s="119">
        <v>17.77</v>
      </c>
      <c r="I239" s="119">
        <v>162.25</v>
      </c>
      <c r="J239" s="119">
        <v>0.04</v>
      </c>
      <c r="K239" s="119">
        <v>0.02</v>
      </c>
      <c r="L239" s="118">
        <v>10</v>
      </c>
      <c r="M239" s="118">
        <v>0.02</v>
      </c>
      <c r="N239" s="119">
        <v>0.2</v>
      </c>
      <c r="O239" s="119">
        <v>16</v>
      </c>
      <c r="P239" s="119">
        <v>11</v>
      </c>
      <c r="Q239" s="118">
        <v>0.03</v>
      </c>
      <c r="R239" s="118">
        <v>2E-3</v>
      </c>
      <c r="S239" s="119">
        <v>9</v>
      </c>
      <c r="T239" s="119">
        <v>2.2000000000000002</v>
      </c>
      <c r="U239" s="62"/>
      <c r="V239" s="62"/>
      <c r="W239" s="62"/>
      <c r="X239" s="62"/>
    </row>
    <row r="240" spans="1:24" s="57" customFormat="1" ht="12.75" customHeight="1">
      <c r="A240" s="71">
        <v>377</v>
      </c>
      <c r="B240" s="184" t="s">
        <v>41</v>
      </c>
      <c r="C240" s="184"/>
      <c r="D240" s="72">
        <v>200</v>
      </c>
      <c r="E240" s="73">
        <v>4.53</v>
      </c>
      <c r="F240" s="73">
        <v>0.26</v>
      </c>
      <c r="G240" s="73">
        <v>0.06</v>
      </c>
      <c r="H240" s="73">
        <v>15.22</v>
      </c>
      <c r="I240" s="73">
        <f>F240*4+G240*9+H240*4</f>
        <v>62.46</v>
      </c>
      <c r="J240" s="73">
        <v>0</v>
      </c>
      <c r="K240" s="73">
        <v>0.01</v>
      </c>
      <c r="L240" s="73">
        <v>2.9</v>
      </c>
      <c r="M240" s="75">
        <v>0</v>
      </c>
      <c r="N240" s="73">
        <v>0.06</v>
      </c>
      <c r="O240" s="73">
        <v>8.0500000000000007</v>
      </c>
      <c r="P240" s="73">
        <v>9.7799999999999994</v>
      </c>
      <c r="Q240" s="73">
        <v>1.7000000000000001E-2</v>
      </c>
      <c r="R240" s="74">
        <v>0</v>
      </c>
      <c r="S240" s="73">
        <v>5.24</v>
      </c>
      <c r="T240" s="73">
        <v>0.87</v>
      </c>
      <c r="U240" s="58"/>
      <c r="V240" s="59"/>
      <c r="W240" s="59"/>
      <c r="X240" s="59"/>
    </row>
    <row r="241" spans="1:24" s="49" customFormat="1" ht="11.25" customHeight="1">
      <c r="A241" s="140">
        <v>338</v>
      </c>
      <c r="B241" s="184" t="s">
        <v>71</v>
      </c>
      <c r="C241" s="184"/>
      <c r="D241" s="72">
        <v>120</v>
      </c>
      <c r="E241" s="73">
        <v>31.11</v>
      </c>
      <c r="F241" s="73">
        <v>1.5</v>
      </c>
      <c r="G241" s="73">
        <v>0.5</v>
      </c>
      <c r="H241" s="73">
        <v>2.1</v>
      </c>
      <c r="I241" s="73">
        <v>94.5</v>
      </c>
      <c r="J241" s="73">
        <v>0.04</v>
      </c>
      <c r="K241" s="73">
        <v>0.02</v>
      </c>
      <c r="L241" s="72">
        <v>10</v>
      </c>
      <c r="M241" s="72">
        <v>0.02</v>
      </c>
      <c r="N241" s="73">
        <v>0.2</v>
      </c>
      <c r="O241" s="73">
        <v>16</v>
      </c>
      <c r="P241" s="73">
        <v>11</v>
      </c>
      <c r="Q241" s="72">
        <v>0.03</v>
      </c>
      <c r="R241" s="72">
        <v>2E-3</v>
      </c>
      <c r="S241" s="73">
        <v>9</v>
      </c>
      <c r="T241" s="73">
        <v>2.2000000000000002</v>
      </c>
      <c r="U241" s="47"/>
      <c r="V241" s="52"/>
      <c r="W241" s="52"/>
      <c r="X241" s="53"/>
    </row>
    <row r="242" spans="1:24" s="2" customFormat="1" ht="11.25" customHeight="1">
      <c r="A242" s="130" t="s">
        <v>76</v>
      </c>
      <c r="B242" s="131"/>
      <c r="C242" s="131"/>
      <c r="D242" s="103">
        <f t="shared" ref="D242:I242" si="61">SUM(D238:D241)</f>
        <v>558</v>
      </c>
      <c r="E242" s="104">
        <f t="shared" si="61"/>
        <v>78.3</v>
      </c>
      <c r="F242" s="113">
        <f t="shared" si="61"/>
        <v>15.51</v>
      </c>
      <c r="G242" s="113">
        <f t="shared" si="61"/>
        <v>20.329999999999998</v>
      </c>
      <c r="H242" s="113">
        <f t="shared" si="61"/>
        <v>89.389999999999986</v>
      </c>
      <c r="I242" s="113">
        <f t="shared" si="61"/>
        <v>678.11</v>
      </c>
      <c r="J242" s="113">
        <f t="shared" ref="J242:T242" si="62">SUM(J238:J241)</f>
        <v>0.22000000000000003</v>
      </c>
      <c r="K242" s="113">
        <f t="shared" si="62"/>
        <v>0.22999999999999998</v>
      </c>
      <c r="L242" s="113">
        <f t="shared" si="62"/>
        <v>26.25</v>
      </c>
      <c r="M242" s="113">
        <f t="shared" si="62"/>
        <v>7.6999999999999999E-2</v>
      </c>
      <c r="N242" s="113">
        <f t="shared" si="62"/>
        <v>1.76</v>
      </c>
      <c r="O242" s="114">
        <f t="shared" si="62"/>
        <v>187.65</v>
      </c>
      <c r="P242" s="113">
        <f t="shared" si="62"/>
        <v>230.38</v>
      </c>
      <c r="Q242" s="113">
        <f t="shared" si="62"/>
        <v>7.6999999999999999E-2</v>
      </c>
      <c r="R242" s="113">
        <f t="shared" si="62"/>
        <v>4.0000000000000001E-3</v>
      </c>
      <c r="S242" s="113">
        <f t="shared" si="62"/>
        <v>81.039999999999992</v>
      </c>
      <c r="T242" s="113">
        <f t="shared" si="62"/>
        <v>6.57</v>
      </c>
      <c r="U242" s="23"/>
      <c r="V242" s="24"/>
      <c r="W242" s="24"/>
      <c r="X242" s="24"/>
    </row>
    <row r="243" spans="1:24" s="2" customFormat="1" ht="11.25" customHeight="1">
      <c r="A243" s="185" t="s">
        <v>54</v>
      </c>
      <c r="B243" s="186"/>
      <c r="C243" s="186"/>
      <c r="D243" s="187"/>
      <c r="E243" s="162"/>
      <c r="F243" s="106">
        <f t="shared" ref="F243:T243" si="63">F242/F260</f>
        <v>0.17233333333333334</v>
      </c>
      <c r="G243" s="108">
        <f t="shared" si="63"/>
        <v>0.22097826086956521</v>
      </c>
      <c r="H243" s="108">
        <f t="shared" si="63"/>
        <v>0.23339425587467361</v>
      </c>
      <c r="I243" s="108">
        <f t="shared" si="63"/>
        <v>0.24930514705882353</v>
      </c>
      <c r="J243" s="108">
        <f t="shared" si="63"/>
        <v>0.15714285714285717</v>
      </c>
      <c r="K243" s="108">
        <f t="shared" si="63"/>
        <v>0.14374999999999999</v>
      </c>
      <c r="L243" s="108">
        <f t="shared" si="63"/>
        <v>0.375</v>
      </c>
      <c r="M243" s="108">
        <f t="shared" si="63"/>
        <v>8.5555555555555551E-2</v>
      </c>
      <c r="N243" s="108">
        <f t="shared" si="63"/>
        <v>0.14666666666666667</v>
      </c>
      <c r="O243" s="108">
        <f t="shared" si="63"/>
        <v>0.15637500000000001</v>
      </c>
      <c r="P243" s="108">
        <f t="shared" si="63"/>
        <v>0.19198333333333334</v>
      </c>
      <c r="Q243" s="108">
        <f t="shared" si="63"/>
        <v>5.4999999999999997E-3</v>
      </c>
      <c r="R243" s="108">
        <f t="shared" si="63"/>
        <v>0.04</v>
      </c>
      <c r="S243" s="108">
        <f t="shared" si="63"/>
        <v>0.27013333333333328</v>
      </c>
      <c r="T243" s="108">
        <f t="shared" si="63"/>
        <v>0.36499999999999999</v>
      </c>
      <c r="U243" s="28"/>
      <c r="V243" s="24"/>
      <c r="W243" s="24"/>
      <c r="X243" s="24"/>
    </row>
    <row r="244" spans="1:24" s="2" customFormat="1" ht="11.25" customHeight="1">
      <c r="A244" s="235" t="s">
        <v>24</v>
      </c>
      <c r="B244" s="236"/>
      <c r="C244" s="236"/>
      <c r="D244" s="236"/>
      <c r="E244" s="236"/>
      <c r="F244" s="236"/>
      <c r="G244" s="236"/>
      <c r="H244" s="236"/>
      <c r="I244" s="236"/>
      <c r="J244" s="236"/>
      <c r="K244" s="236"/>
      <c r="L244" s="236"/>
      <c r="M244" s="236"/>
      <c r="N244" s="236"/>
      <c r="O244" s="236"/>
      <c r="P244" s="236"/>
      <c r="Q244" s="236"/>
      <c r="R244" s="236"/>
      <c r="S244" s="236"/>
      <c r="T244" s="237"/>
      <c r="U244" s="11"/>
      <c r="V244" s="21"/>
      <c r="W244" s="21"/>
      <c r="X244" s="21"/>
    </row>
    <row r="245" spans="1:24" s="64" customFormat="1" ht="21.75" customHeight="1">
      <c r="A245" s="100">
        <v>52</v>
      </c>
      <c r="B245" s="190" t="s">
        <v>108</v>
      </c>
      <c r="C245" s="191"/>
      <c r="D245" s="72">
        <v>100</v>
      </c>
      <c r="E245" s="73">
        <v>8.9499999999999993</v>
      </c>
      <c r="F245" s="73">
        <v>1.4333333333333333</v>
      </c>
      <c r="G245" s="73">
        <v>5.083333333333333</v>
      </c>
      <c r="H245" s="73">
        <v>8.5500000000000007</v>
      </c>
      <c r="I245" s="73">
        <v>85.683333333333337</v>
      </c>
      <c r="J245" s="73">
        <v>1.6666666666666666E-2</v>
      </c>
      <c r="K245" s="73">
        <v>3.3333333333333333E-2</v>
      </c>
      <c r="L245" s="112">
        <v>9.5</v>
      </c>
      <c r="M245" s="73">
        <v>1.6666666666666666E-2</v>
      </c>
      <c r="N245" s="73">
        <v>0.16666666666666666</v>
      </c>
      <c r="O245" s="73">
        <v>44.35</v>
      </c>
      <c r="P245" s="73">
        <v>42.733333333333334</v>
      </c>
      <c r="Q245" s="73">
        <v>0.71666666666666667</v>
      </c>
      <c r="R245" s="74">
        <v>1.6666666666666666E-2</v>
      </c>
      <c r="S245" s="112">
        <v>21.45</v>
      </c>
      <c r="T245" s="73">
        <v>1.4</v>
      </c>
      <c r="U245" s="58"/>
      <c r="V245" s="59"/>
      <c r="W245" s="59"/>
      <c r="X245" s="59"/>
    </row>
    <row r="246" spans="1:24" s="57" customFormat="1" ht="22.5" customHeight="1">
      <c r="A246" s="100">
        <v>108</v>
      </c>
      <c r="B246" s="190" t="s">
        <v>70</v>
      </c>
      <c r="C246" s="191"/>
      <c r="D246" s="75">
        <v>250</v>
      </c>
      <c r="E246" s="73">
        <v>10.64</v>
      </c>
      <c r="F246" s="73">
        <v>3.15</v>
      </c>
      <c r="G246" s="74">
        <v>3.55</v>
      </c>
      <c r="H246" s="74">
        <v>20.837499999999999</v>
      </c>
      <c r="I246" s="73">
        <v>127.89999999999999</v>
      </c>
      <c r="J246" s="74">
        <v>8.7499999999999994E-2</v>
      </c>
      <c r="K246" s="74">
        <v>7.4999999999999997E-2</v>
      </c>
      <c r="L246" s="74">
        <v>11.3125</v>
      </c>
      <c r="M246" s="74">
        <v>0.59</v>
      </c>
      <c r="N246" s="74">
        <v>0.875</v>
      </c>
      <c r="O246" s="74">
        <v>25.737500000000001</v>
      </c>
      <c r="P246" s="74">
        <v>60.237499999999997</v>
      </c>
      <c r="Q246" s="74">
        <v>0.25</v>
      </c>
      <c r="R246" s="74">
        <v>1.25E-3</v>
      </c>
      <c r="S246" s="74">
        <v>18.2</v>
      </c>
      <c r="T246" s="74">
        <v>0.92500000000000004</v>
      </c>
      <c r="U246" s="58"/>
      <c r="V246" s="59"/>
      <c r="W246" s="59"/>
      <c r="X246" s="59"/>
    </row>
    <row r="247" spans="1:24" s="57" customFormat="1" ht="12.75" customHeight="1">
      <c r="A247" s="71">
        <v>255</v>
      </c>
      <c r="B247" s="190" t="s">
        <v>83</v>
      </c>
      <c r="C247" s="191"/>
      <c r="D247" s="72">
        <v>100</v>
      </c>
      <c r="E247" s="73">
        <v>46.48</v>
      </c>
      <c r="F247" s="73">
        <v>8.36</v>
      </c>
      <c r="G247" s="73">
        <v>5.35</v>
      </c>
      <c r="H247" s="73">
        <v>10.45</v>
      </c>
      <c r="I247" s="73">
        <v>125.95</v>
      </c>
      <c r="J247" s="73">
        <v>7.0000000000000007E-2</v>
      </c>
      <c r="K247" s="73">
        <v>7.0000000000000007E-2</v>
      </c>
      <c r="L247" s="73">
        <v>0.42</v>
      </c>
      <c r="M247" s="74">
        <v>0</v>
      </c>
      <c r="N247" s="75">
        <v>0</v>
      </c>
      <c r="O247" s="73">
        <v>39.14</v>
      </c>
      <c r="P247" s="112">
        <v>124.85</v>
      </c>
      <c r="Q247" s="112">
        <v>0</v>
      </c>
      <c r="R247" s="74">
        <v>0</v>
      </c>
      <c r="S247" s="73">
        <v>30</v>
      </c>
      <c r="T247" s="73">
        <v>0.74</v>
      </c>
      <c r="U247" s="58"/>
      <c r="V247" s="59"/>
      <c r="W247" s="59"/>
      <c r="X247" s="59"/>
    </row>
    <row r="248" spans="1:24" s="57" customFormat="1" ht="19.5" customHeight="1">
      <c r="A248" s="100">
        <v>312</v>
      </c>
      <c r="B248" s="190" t="s">
        <v>43</v>
      </c>
      <c r="C248" s="191"/>
      <c r="D248" s="72">
        <v>180</v>
      </c>
      <c r="E248" s="73">
        <v>21.62</v>
      </c>
      <c r="F248" s="73">
        <v>3.9480000000000004</v>
      </c>
      <c r="G248" s="73">
        <v>8.4719999999999995</v>
      </c>
      <c r="H248" s="73">
        <v>26.652000000000001</v>
      </c>
      <c r="I248" s="73">
        <v>198.648</v>
      </c>
      <c r="J248" s="73">
        <v>0.192</v>
      </c>
      <c r="K248" s="73">
        <v>0.15600000000000003</v>
      </c>
      <c r="L248" s="73">
        <v>0.876</v>
      </c>
      <c r="M248" s="74">
        <v>9.6000000000000002E-2</v>
      </c>
      <c r="N248" s="75">
        <v>1.8</v>
      </c>
      <c r="O248" s="73">
        <v>51.048000000000002</v>
      </c>
      <c r="P248" s="112">
        <v>117.3</v>
      </c>
      <c r="Q248" s="74">
        <v>0.35880000000000001</v>
      </c>
      <c r="R248" s="74">
        <v>1.1999999999999999E-3</v>
      </c>
      <c r="S248" s="73">
        <v>39.672000000000004</v>
      </c>
      <c r="T248" s="73">
        <v>1.4279999999999999</v>
      </c>
      <c r="U248" s="58"/>
      <c r="V248" s="59"/>
      <c r="W248" s="59"/>
      <c r="X248" s="59"/>
    </row>
    <row r="249" spans="1:24" s="57" customFormat="1" ht="11.25" customHeight="1">
      <c r="A249" s="76">
        <v>345</v>
      </c>
      <c r="B249" s="216" t="s">
        <v>44</v>
      </c>
      <c r="C249" s="217"/>
      <c r="D249" s="109">
        <v>200</v>
      </c>
      <c r="E249" s="110">
        <v>4.9000000000000004</v>
      </c>
      <c r="F249" s="110">
        <v>0.06</v>
      </c>
      <c r="G249" s="110">
        <v>0.02</v>
      </c>
      <c r="H249" s="110">
        <v>20.73</v>
      </c>
      <c r="I249" s="110">
        <v>83.34</v>
      </c>
      <c r="J249" s="110">
        <v>0</v>
      </c>
      <c r="K249" s="110">
        <v>0</v>
      </c>
      <c r="L249" s="110">
        <v>2.5</v>
      </c>
      <c r="M249" s="110">
        <v>4.0000000000000001E-3</v>
      </c>
      <c r="N249" s="110">
        <v>0.2</v>
      </c>
      <c r="O249" s="110">
        <v>4</v>
      </c>
      <c r="P249" s="110">
        <v>3.3</v>
      </c>
      <c r="Q249" s="110">
        <v>0.08</v>
      </c>
      <c r="R249" s="110">
        <v>1E-3</v>
      </c>
      <c r="S249" s="110">
        <v>1.7</v>
      </c>
      <c r="T249" s="110">
        <v>0.15</v>
      </c>
      <c r="U249" s="58"/>
      <c r="V249" s="59"/>
      <c r="W249" s="59"/>
      <c r="X249" s="59"/>
    </row>
    <row r="250" spans="1:24" s="57" customFormat="1" ht="11.25" customHeight="1">
      <c r="A250" s="111" t="s">
        <v>57</v>
      </c>
      <c r="B250" s="190" t="s">
        <v>42</v>
      </c>
      <c r="C250" s="191"/>
      <c r="D250" s="72">
        <v>40</v>
      </c>
      <c r="E250" s="73">
        <v>2.56</v>
      </c>
      <c r="F250" s="73">
        <f>2.64*D250/40</f>
        <v>2.64</v>
      </c>
      <c r="G250" s="73">
        <f>0.48*D250/40</f>
        <v>0.48</v>
      </c>
      <c r="H250" s="73">
        <f>13.68*D250/40</f>
        <v>13.680000000000001</v>
      </c>
      <c r="I250" s="112">
        <f>F250*4+G250*9+H250*4</f>
        <v>69.600000000000009</v>
      </c>
      <c r="J250" s="75">
        <f>0.08*D250/40</f>
        <v>0.08</v>
      </c>
      <c r="K250" s="73">
        <f>0.04*D250/40</f>
        <v>0.04</v>
      </c>
      <c r="L250" s="72">
        <v>0</v>
      </c>
      <c r="M250" s="72">
        <v>0</v>
      </c>
      <c r="N250" s="73">
        <f>2.4*D250/40</f>
        <v>2.4</v>
      </c>
      <c r="O250" s="73">
        <f>14*D250/40</f>
        <v>14</v>
      </c>
      <c r="P250" s="73">
        <f>63.2*D250/40</f>
        <v>63.2</v>
      </c>
      <c r="Q250" s="73">
        <f>1.2*D250/40</f>
        <v>1.2</v>
      </c>
      <c r="R250" s="74">
        <f>0.001*D250/40</f>
        <v>1E-3</v>
      </c>
      <c r="S250" s="73">
        <f>9.4*D250/40</f>
        <v>9.4</v>
      </c>
      <c r="T250" s="75">
        <f>0.78*D250/40</f>
        <v>0.78</v>
      </c>
      <c r="U250" s="60"/>
      <c r="V250" s="61"/>
      <c r="W250" s="61"/>
      <c r="X250" s="61"/>
    </row>
    <row r="251" spans="1:24" s="57" customFormat="1" ht="11.25" customHeight="1">
      <c r="A251" s="100" t="s">
        <v>57</v>
      </c>
      <c r="B251" s="190" t="s">
        <v>46</v>
      </c>
      <c r="C251" s="191"/>
      <c r="D251" s="72">
        <v>30</v>
      </c>
      <c r="E251" s="73">
        <v>2.85</v>
      </c>
      <c r="F251" s="73">
        <f>1.52*D251/30</f>
        <v>1.52</v>
      </c>
      <c r="G251" s="74">
        <f>0.16*D251/30</f>
        <v>0.16</v>
      </c>
      <c r="H251" s="74">
        <f>9.84*D251/30</f>
        <v>9.84</v>
      </c>
      <c r="I251" s="74">
        <f>F251*4+G251*9+H251*4</f>
        <v>46.879999999999995</v>
      </c>
      <c r="J251" s="74">
        <f>0.02*D251/30</f>
        <v>0.02</v>
      </c>
      <c r="K251" s="74">
        <f>0.01*D251/30</f>
        <v>0.01</v>
      </c>
      <c r="L251" s="74">
        <f>0.44*D251/30</f>
        <v>0.44</v>
      </c>
      <c r="M251" s="74">
        <v>0</v>
      </c>
      <c r="N251" s="74">
        <f>0.7*D251/30</f>
        <v>0.7</v>
      </c>
      <c r="O251" s="74">
        <f>4*D251/30</f>
        <v>4</v>
      </c>
      <c r="P251" s="74">
        <f>13*D251/30</f>
        <v>13</v>
      </c>
      <c r="Q251" s="74">
        <f>0.008*D251/30</f>
        <v>8.0000000000000002E-3</v>
      </c>
      <c r="R251" s="74">
        <f>0.001*D251/30</f>
        <v>1E-3</v>
      </c>
      <c r="S251" s="74">
        <v>0</v>
      </c>
      <c r="T251" s="74">
        <f>0.22*D251/30</f>
        <v>0.22</v>
      </c>
      <c r="U251" s="58"/>
      <c r="V251" s="59"/>
      <c r="W251" s="59"/>
      <c r="X251" s="59"/>
    </row>
    <row r="252" spans="1:24" s="2" customFormat="1" ht="11.25" customHeight="1">
      <c r="A252" s="101" t="s">
        <v>25</v>
      </c>
      <c r="B252" s="102"/>
      <c r="C252" s="102"/>
      <c r="D252" s="103">
        <f t="shared" ref="D252:T252" si="64">SUM(D245:D251)</f>
        <v>900</v>
      </c>
      <c r="E252" s="104">
        <f>SUM(E245:E251)</f>
        <v>98</v>
      </c>
      <c r="F252" s="104">
        <f t="shared" si="64"/>
        <v>21.111333333333331</v>
      </c>
      <c r="G252" s="104">
        <f t="shared" si="64"/>
        <v>23.115333333333332</v>
      </c>
      <c r="H252" s="104">
        <f t="shared" si="64"/>
        <v>110.73950000000001</v>
      </c>
      <c r="I252" s="104">
        <f t="shared" si="64"/>
        <v>738.00133333333338</v>
      </c>
      <c r="J252" s="104">
        <f t="shared" si="64"/>
        <v>0.46616666666666667</v>
      </c>
      <c r="K252" s="104">
        <f t="shared" si="64"/>
        <v>0.38433333333333336</v>
      </c>
      <c r="L252" s="104">
        <f t="shared" si="64"/>
        <v>25.048500000000004</v>
      </c>
      <c r="M252" s="104">
        <f t="shared" si="64"/>
        <v>0.70666666666666667</v>
      </c>
      <c r="N252" s="104">
        <f t="shared" si="64"/>
        <v>6.1416666666666666</v>
      </c>
      <c r="O252" s="104">
        <f t="shared" si="64"/>
        <v>182.27550000000002</v>
      </c>
      <c r="P252" s="104">
        <f t="shared" si="64"/>
        <v>424.62083333333334</v>
      </c>
      <c r="Q252" s="104">
        <f t="shared" si="64"/>
        <v>2.6134666666666666</v>
      </c>
      <c r="R252" s="104">
        <f t="shared" si="64"/>
        <v>2.211666666666667E-2</v>
      </c>
      <c r="S252" s="104">
        <f t="shared" si="64"/>
        <v>120.42200000000001</v>
      </c>
      <c r="T252" s="104">
        <f t="shared" si="64"/>
        <v>5.6430000000000007</v>
      </c>
      <c r="U252" s="23"/>
      <c r="V252" s="24"/>
      <c r="W252" s="24"/>
      <c r="X252" s="24"/>
    </row>
    <row r="253" spans="1:24" s="2" customFormat="1" ht="11.25" customHeight="1">
      <c r="A253" s="185" t="s">
        <v>54</v>
      </c>
      <c r="B253" s="186"/>
      <c r="C253" s="186"/>
      <c r="D253" s="187"/>
      <c r="E253" s="169">
        <f>98-E252</f>
        <v>0</v>
      </c>
      <c r="F253" s="106">
        <f t="shared" ref="F253:T253" si="65">F252/F260</f>
        <v>0.23457037037037035</v>
      </c>
      <c r="G253" s="108">
        <f t="shared" si="65"/>
        <v>0.25125362318840577</v>
      </c>
      <c r="H253" s="108">
        <f t="shared" si="65"/>
        <v>0.28913707571801567</v>
      </c>
      <c r="I253" s="108">
        <f t="shared" si="65"/>
        <v>0.27132401960784314</v>
      </c>
      <c r="J253" s="108">
        <f t="shared" si="65"/>
        <v>0.33297619047619048</v>
      </c>
      <c r="K253" s="108">
        <f t="shared" si="65"/>
        <v>0.24020833333333333</v>
      </c>
      <c r="L253" s="108">
        <f t="shared" si="65"/>
        <v>0.35783571428571437</v>
      </c>
      <c r="M253" s="108">
        <f t="shared" si="65"/>
        <v>0.78518518518518521</v>
      </c>
      <c r="N253" s="108">
        <f t="shared" si="65"/>
        <v>0.51180555555555551</v>
      </c>
      <c r="O253" s="108">
        <f t="shared" si="65"/>
        <v>0.15189625000000001</v>
      </c>
      <c r="P253" s="108">
        <f t="shared" si="65"/>
        <v>0.35385069444444445</v>
      </c>
      <c r="Q253" s="108">
        <f t="shared" si="65"/>
        <v>0.18667619047619047</v>
      </c>
      <c r="R253" s="108">
        <f t="shared" si="65"/>
        <v>0.22116666666666668</v>
      </c>
      <c r="S253" s="108">
        <f t="shared" si="65"/>
        <v>0.40140666666666669</v>
      </c>
      <c r="T253" s="108">
        <f t="shared" si="65"/>
        <v>0.31350000000000006</v>
      </c>
      <c r="U253" s="28"/>
      <c r="V253" s="24"/>
      <c r="W253" s="24"/>
      <c r="X253" s="24"/>
    </row>
    <row r="254" spans="1:24" s="2" customFormat="1" ht="11.25" customHeight="1">
      <c r="A254" s="192" t="s">
        <v>26</v>
      </c>
      <c r="B254" s="193"/>
      <c r="C254" s="193"/>
      <c r="D254" s="193"/>
      <c r="E254" s="193"/>
      <c r="F254" s="193"/>
      <c r="G254" s="193"/>
      <c r="H254" s="193"/>
      <c r="I254" s="193"/>
      <c r="J254" s="193"/>
      <c r="K254" s="193"/>
      <c r="L254" s="193"/>
      <c r="M254" s="193"/>
      <c r="N254" s="193"/>
      <c r="O254" s="193"/>
      <c r="P254" s="193"/>
      <c r="Q254" s="193"/>
      <c r="R254" s="193"/>
      <c r="S254" s="193"/>
      <c r="T254" s="194"/>
      <c r="U254" s="6"/>
      <c r="V254" s="19"/>
      <c r="W254" s="19"/>
      <c r="X254" s="19"/>
    </row>
    <row r="255" spans="1:24" s="42" customFormat="1" ht="11.25" customHeight="1">
      <c r="A255" s="117"/>
      <c r="B255" s="201"/>
      <c r="C255" s="201"/>
      <c r="D255" s="118"/>
      <c r="E255" s="119"/>
      <c r="F255" s="119"/>
      <c r="G255" s="122"/>
      <c r="H255" s="122"/>
      <c r="I255" s="119"/>
      <c r="J255" s="119"/>
      <c r="K255" s="119"/>
      <c r="L255" s="119"/>
      <c r="M255" s="119"/>
      <c r="N255" s="119"/>
      <c r="O255" s="119"/>
      <c r="P255" s="119"/>
      <c r="Q255" s="119"/>
      <c r="R255" s="119"/>
      <c r="S255" s="119"/>
      <c r="T255" s="119"/>
    </row>
    <row r="256" spans="1:24" s="2" customFormat="1" ht="12.75" customHeight="1">
      <c r="A256" s="71"/>
      <c r="B256" s="184"/>
      <c r="C256" s="184"/>
      <c r="D256" s="72"/>
      <c r="E256" s="73"/>
      <c r="F256" s="73"/>
      <c r="G256" s="73"/>
      <c r="H256" s="73"/>
      <c r="I256" s="73"/>
      <c r="J256" s="73"/>
      <c r="K256" s="73"/>
      <c r="L256" s="73"/>
      <c r="M256" s="75"/>
      <c r="N256" s="73"/>
      <c r="O256" s="73"/>
      <c r="P256" s="73"/>
      <c r="Q256" s="73"/>
      <c r="R256" s="74"/>
      <c r="S256" s="73"/>
      <c r="T256" s="73"/>
      <c r="U256" s="34"/>
      <c r="V256" s="35"/>
      <c r="W256" s="35"/>
      <c r="X256" s="35"/>
    </row>
    <row r="257" spans="1:24" s="1" customFormat="1" ht="11.25" customHeight="1">
      <c r="A257" s="101" t="s">
        <v>27</v>
      </c>
      <c r="B257" s="102"/>
      <c r="C257" s="102"/>
      <c r="D257" s="103">
        <f t="shared" ref="D257:I257" si="66">SUM(D255:D256)</f>
        <v>0</v>
      </c>
      <c r="E257" s="104">
        <f t="shared" si="66"/>
        <v>0</v>
      </c>
      <c r="F257" s="113">
        <f t="shared" si="66"/>
        <v>0</v>
      </c>
      <c r="G257" s="114">
        <f t="shared" si="66"/>
        <v>0</v>
      </c>
      <c r="H257" s="114">
        <f t="shared" si="66"/>
        <v>0</v>
      </c>
      <c r="I257" s="114">
        <f t="shared" si="66"/>
        <v>0</v>
      </c>
      <c r="J257" s="113">
        <f t="shared" ref="J257:T257" si="67">SUM(J255:J256)</f>
        <v>0</v>
      </c>
      <c r="K257" s="113">
        <f t="shared" si="67"/>
        <v>0</v>
      </c>
      <c r="L257" s="115">
        <f t="shared" si="67"/>
        <v>0</v>
      </c>
      <c r="M257" s="114">
        <f t="shared" si="67"/>
        <v>0</v>
      </c>
      <c r="N257" s="114">
        <f t="shared" si="67"/>
        <v>0</v>
      </c>
      <c r="O257" s="114">
        <f t="shared" si="67"/>
        <v>0</v>
      </c>
      <c r="P257" s="114">
        <f t="shared" si="67"/>
        <v>0</v>
      </c>
      <c r="Q257" s="114">
        <f t="shared" si="67"/>
        <v>0</v>
      </c>
      <c r="R257" s="113">
        <f t="shared" si="67"/>
        <v>0</v>
      </c>
      <c r="S257" s="114">
        <f t="shared" si="67"/>
        <v>0</v>
      </c>
      <c r="T257" s="113">
        <f t="shared" si="67"/>
        <v>0</v>
      </c>
      <c r="U257" s="23"/>
      <c r="V257" s="24"/>
      <c r="W257" s="24"/>
      <c r="X257" s="24"/>
    </row>
    <row r="258" spans="1:24" s="1" customFormat="1" ht="11.25" customHeight="1">
      <c r="A258" s="185" t="s">
        <v>54</v>
      </c>
      <c r="B258" s="186"/>
      <c r="C258" s="186"/>
      <c r="D258" s="187"/>
      <c r="E258" s="124"/>
      <c r="F258" s="107">
        <f>F257/F260</f>
        <v>0</v>
      </c>
      <c r="G258" s="108">
        <f t="shared" ref="G258:T258" si="68">G257/G260</f>
        <v>0</v>
      </c>
      <c r="H258" s="108">
        <f t="shared" si="68"/>
        <v>0</v>
      </c>
      <c r="I258" s="108">
        <f t="shared" si="68"/>
        <v>0</v>
      </c>
      <c r="J258" s="108">
        <f t="shared" si="68"/>
        <v>0</v>
      </c>
      <c r="K258" s="108">
        <f t="shared" si="68"/>
        <v>0</v>
      </c>
      <c r="L258" s="108">
        <f t="shared" si="68"/>
        <v>0</v>
      </c>
      <c r="M258" s="108">
        <f t="shared" si="68"/>
        <v>0</v>
      </c>
      <c r="N258" s="108">
        <f t="shared" si="68"/>
        <v>0</v>
      </c>
      <c r="O258" s="108">
        <f t="shared" si="68"/>
        <v>0</v>
      </c>
      <c r="P258" s="108">
        <f t="shared" si="68"/>
        <v>0</v>
      </c>
      <c r="Q258" s="108">
        <f t="shared" si="68"/>
        <v>0</v>
      </c>
      <c r="R258" s="108">
        <f t="shared" si="68"/>
        <v>0</v>
      </c>
      <c r="S258" s="108">
        <f t="shared" si="68"/>
        <v>0</v>
      </c>
      <c r="T258" s="108">
        <f t="shared" si="68"/>
        <v>0</v>
      </c>
      <c r="U258" s="28"/>
      <c r="V258" s="24"/>
      <c r="W258" s="24"/>
      <c r="X258" s="24"/>
    </row>
    <row r="259" spans="1:24" s="1" customFormat="1" ht="11.25" customHeight="1">
      <c r="A259" s="101" t="s">
        <v>53</v>
      </c>
      <c r="B259" s="102"/>
      <c r="C259" s="102"/>
      <c r="D259" s="125">
        <f>D252+D242</f>
        <v>1458</v>
      </c>
      <c r="E259" s="126">
        <f>E252+E242</f>
        <v>176.3</v>
      </c>
      <c r="F259" s="113">
        <f t="shared" ref="F259:T259" si="69">SUM(F242,F252,F257)</f>
        <v>36.621333333333332</v>
      </c>
      <c r="G259" s="114">
        <f t="shared" si="69"/>
        <v>43.44533333333333</v>
      </c>
      <c r="H259" s="114">
        <f t="shared" si="69"/>
        <v>200.12950000000001</v>
      </c>
      <c r="I259" s="114">
        <f t="shared" si="69"/>
        <v>1416.1113333333333</v>
      </c>
      <c r="J259" s="113">
        <f t="shared" si="69"/>
        <v>0.6861666666666667</v>
      </c>
      <c r="K259" s="113">
        <f t="shared" si="69"/>
        <v>0.6143333333333334</v>
      </c>
      <c r="L259" s="114">
        <f t="shared" si="69"/>
        <v>51.298500000000004</v>
      </c>
      <c r="M259" s="113">
        <f t="shared" si="69"/>
        <v>0.78366666666666662</v>
      </c>
      <c r="N259" s="113">
        <f t="shared" si="69"/>
        <v>7.9016666666666664</v>
      </c>
      <c r="O259" s="114">
        <f t="shared" si="69"/>
        <v>369.92550000000006</v>
      </c>
      <c r="P259" s="114">
        <f t="shared" si="69"/>
        <v>655.00083333333328</v>
      </c>
      <c r="Q259" s="113">
        <f t="shared" si="69"/>
        <v>2.6904666666666666</v>
      </c>
      <c r="R259" s="116">
        <f t="shared" si="69"/>
        <v>2.611666666666667E-2</v>
      </c>
      <c r="S259" s="113">
        <f t="shared" si="69"/>
        <v>201.46199999999999</v>
      </c>
      <c r="T259" s="113">
        <f t="shared" si="69"/>
        <v>12.213000000000001</v>
      </c>
      <c r="U259" s="25"/>
      <c r="V259" s="24"/>
      <c r="W259" s="24"/>
      <c r="X259" s="24"/>
    </row>
    <row r="260" spans="1:24" s="1" customFormat="1" ht="11.25" customHeight="1">
      <c r="A260" s="220" t="s">
        <v>55</v>
      </c>
      <c r="B260" s="221"/>
      <c r="C260" s="221"/>
      <c r="D260" s="222"/>
      <c r="E260" s="127"/>
      <c r="F260" s="73">
        <v>90</v>
      </c>
      <c r="G260" s="112">
        <v>92</v>
      </c>
      <c r="H260" s="112">
        <v>383</v>
      </c>
      <c r="I260" s="112">
        <v>2720</v>
      </c>
      <c r="J260" s="73">
        <v>1.4</v>
      </c>
      <c r="K260" s="73">
        <v>1.6</v>
      </c>
      <c r="L260" s="72">
        <v>70</v>
      </c>
      <c r="M260" s="73">
        <v>0.9</v>
      </c>
      <c r="N260" s="72">
        <v>12</v>
      </c>
      <c r="O260" s="72">
        <v>1200</v>
      </c>
      <c r="P260" s="72">
        <v>1200</v>
      </c>
      <c r="Q260" s="72">
        <v>14</v>
      </c>
      <c r="R260" s="112">
        <v>0.1</v>
      </c>
      <c r="S260" s="72">
        <v>300</v>
      </c>
      <c r="T260" s="73">
        <v>18</v>
      </c>
      <c r="U260" s="34"/>
      <c r="V260" s="35"/>
      <c r="W260" s="35"/>
      <c r="X260" s="35"/>
    </row>
    <row r="261" spans="1:24" s="1" customFormat="1" ht="11.25" customHeight="1">
      <c r="A261" s="185" t="s">
        <v>54</v>
      </c>
      <c r="B261" s="186"/>
      <c r="C261" s="186"/>
      <c r="D261" s="187"/>
      <c r="E261" s="124"/>
      <c r="F261" s="107">
        <f t="shared" ref="F261:T261" si="70">F259/F260</f>
        <v>0.40690370370370371</v>
      </c>
      <c r="G261" s="108">
        <f t="shared" si="70"/>
        <v>0.47223188405797101</v>
      </c>
      <c r="H261" s="108">
        <f t="shared" si="70"/>
        <v>0.52253133159268927</v>
      </c>
      <c r="I261" s="108">
        <f t="shared" si="70"/>
        <v>0.5206291666666667</v>
      </c>
      <c r="J261" s="108">
        <f t="shared" si="70"/>
        <v>0.49011904761904768</v>
      </c>
      <c r="K261" s="108">
        <f t="shared" si="70"/>
        <v>0.38395833333333335</v>
      </c>
      <c r="L261" s="108">
        <f t="shared" si="70"/>
        <v>0.73283571428571437</v>
      </c>
      <c r="M261" s="128">
        <f t="shared" si="70"/>
        <v>0.8707407407407407</v>
      </c>
      <c r="N261" s="108">
        <f t="shared" si="70"/>
        <v>0.65847222222222224</v>
      </c>
      <c r="O261" s="108">
        <f t="shared" si="70"/>
        <v>0.30827125000000005</v>
      </c>
      <c r="P261" s="108">
        <f t="shared" si="70"/>
        <v>0.54583402777777768</v>
      </c>
      <c r="Q261" s="108">
        <f t="shared" si="70"/>
        <v>0.19217619047619047</v>
      </c>
      <c r="R261" s="128">
        <f t="shared" si="70"/>
        <v>0.26116666666666666</v>
      </c>
      <c r="S261" s="108">
        <f t="shared" si="70"/>
        <v>0.67153999999999991</v>
      </c>
      <c r="T261" s="128">
        <f t="shared" si="70"/>
        <v>0.6785000000000001</v>
      </c>
      <c r="U261" s="26"/>
      <c r="V261" s="27"/>
      <c r="W261" s="27"/>
      <c r="X261" s="27"/>
    </row>
    <row r="262" spans="1:24" s="1" customFormat="1" ht="11.25" customHeight="1">
      <c r="A262" s="88" t="s">
        <v>65</v>
      </c>
      <c r="B262" s="88"/>
      <c r="C262" s="129"/>
      <c r="D262" s="129"/>
      <c r="E262" s="129"/>
      <c r="F262" s="83"/>
      <c r="G262" s="84"/>
      <c r="H262" s="82"/>
      <c r="I262" s="82"/>
      <c r="J262" s="84"/>
      <c r="K262" s="84"/>
      <c r="L262" s="84"/>
      <c r="M262" s="229" t="s">
        <v>56</v>
      </c>
      <c r="N262" s="229"/>
      <c r="O262" s="229"/>
      <c r="P262" s="229"/>
      <c r="Q262" s="229"/>
      <c r="R262" s="229"/>
      <c r="S262" s="229"/>
      <c r="T262" s="229"/>
      <c r="U262" s="7"/>
      <c r="V262" s="14"/>
      <c r="W262" s="14"/>
      <c r="X262" s="14"/>
    </row>
    <row r="263" spans="1:24" s="1" customFormat="1" ht="11.25" customHeight="1">
      <c r="A263" s="88"/>
      <c r="B263" s="88"/>
      <c r="C263" s="129"/>
      <c r="D263" s="129"/>
      <c r="E263" s="129"/>
      <c r="F263" s="83"/>
      <c r="G263" s="84"/>
      <c r="H263" s="82"/>
      <c r="I263" s="82"/>
      <c r="J263" s="84"/>
      <c r="K263" s="84"/>
      <c r="L263" s="84"/>
      <c r="M263" s="86"/>
      <c r="N263" s="86"/>
      <c r="O263" s="86"/>
      <c r="P263" s="86"/>
      <c r="Q263" s="86"/>
      <c r="R263" s="86"/>
      <c r="S263" s="86"/>
      <c r="T263" s="86"/>
      <c r="U263" s="7"/>
      <c r="V263" s="14"/>
      <c r="W263" s="14"/>
      <c r="X263" s="14"/>
    </row>
    <row r="264" spans="1:24" s="1" customFormat="1" ht="11.25" customHeight="1">
      <c r="A264" s="208" t="s">
        <v>39</v>
      </c>
      <c r="B264" s="208"/>
      <c r="C264" s="208"/>
      <c r="D264" s="208"/>
      <c r="E264" s="208"/>
      <c r="F264" s="208"/>
      <c r="G264" s="208"/>
      <c r="H264" s="208"/>
      <c r="I264" s="208"/>
      <c r="J264" s="208"/>
      <c r="K264" s="208"/>
      <c r="L264" s="208"/>
      <c r="M264" s="208"/>
      <c r="N264" s="208"/>
      <c r="O264" s="208"/>
      <c r="P264" s="208"/>
      <c r="Q264" s="208"/>
      <c r="R264" s="208"/>
      <c r="S264" s="208"/>
      <c r="T264" s="208"/>
      <c r="U264" s="8"/>
      <c r="V264" s="20"/>
      <c r="W264" s="20"/>
      <c r="X264" s="20"/>
    </row>
    <row r="265" spans="1:24" s="1" customFormat="1" ht="11.25" customHeight="1">
      <c r="A265" s="87" t="s">
        <v>47</v>
      </c>
      <c r="B265" s="88"/>
      <c r="C265" s="88"/>
      <c r="D265" s="82"/>
      <c r="E265" s="82"/>
      <c r="F265" s="85"/>
      <c r="G265" s="189" t="s">
        <v>33</v>
      </c>
      <c r="H265" s="189"/>
      <c r="I265" s="189"/>
      <c r="J265" s="84"/>
      <c r="K265" s="84"/>
      <c r="L265" s="207" t="s">
        <v>1</v>
      </c>
      <c r="M265" s="207"/>
      <c r="N265" s="188" t="str">
        <f>N232</f>
        <v>осенне-зимний</v>
      </c>
      <c r="O265" s="188"/>
      <c r="P265" s="188"/>
      <c r="Q265" s="188"/>
      <c r="R265" s="84"/>
      <c r="S265" s="84"/>
      <c r="T265" s="84"/>
      <c r="U265" s="9"/>
      <c r="V265" s="15"/>
      <c r="W265" s="15"/>
      <c r="X265" s="15"/>
    </row>
    <row r="266" spans="1:24" s="1" customFormat="1" ht="11.25" customHeight="1">
      <c r="A266" s="88"/>
      <c r="B266" s="88"/>
      <c r="C266" s="88"/>
      <c r="D266" s="206" t="s">
        <v>2</v>
      </c>
      <c r="E266" s="206"/>
      <c r="F266" s="206"/>
      <c r="G266" s="89">
        <v>2</v>
      </c>
      <c r="H266" s="84"/>
      <c r="I266" s="82"/>
      <c r="J266" s="82"/>
      <c r="K266" s="82"/>
      <c r="L266" s="206" t="s">
        <v>3</v>
      </c>
      <c r="M266" s="206"/>
      <c r="N266" s="189" t="str">
        <f>N233</f>
        <v>с 7-11 лет</v>
      </c>
      <c r="O266" s="189"/>
      <c r="P266" s="189"/>
      <c r="Q266" s="189"/>
      <c r="R266" s="189"/>
      <c r="S266" s="189"/>
      <c r="T266" s="189"/>
      <c r="U266" s="10"/>
      <c r="V266" s="16"/>
      <c r="W266" s="16"/>
      <c r="X266" s="16"/>
    </row>
    <row r="267" spans="1:24" s="2" customFormat="1" ht="21.75" customHeight="1">
      <c r="A267" s="199" t="s">
        <v>4</v>
      </c>
      <c r="B267" s="195" t="s">
        <v>5</v>
      </c>
      <c r="C267" s="196"/>
      <c r="D267" s="199" t="s">
        <v>6</v>
      </c>
      <c r="E267" s="90"/>
      <c r="F267" s="202" t="s">
        <v>7</v>
      </c>
      <c r="G267" s="203"/>
      <c r="H267" s="204"/>
      <c r="I267" s="199" t="s">
        <v>8</v>
      </c>
      <c r="J267" s="202" t="s">
        <v>9</v>
      </c>
      <c r="K267" s="203"/>
      <c r="L267" s="203"/>
      <c r="M267" s="203"/>
      <c r="N267" s="204"/>
      <c r="O267" s="202" t="s">
        <v>10</v>
      </c>
      <c r="P267" s="203"/>
      <c r="Q267" s="203"/>
      <c r="R267" s="203"/>
      <c r="S267" s="203"/>
      <c r="T267" s="204"/>
      <c r="U267" s="4"/>
      <c r="V267" s="15"/>
      <c r="W267" s="15"/>
      <c r="X267" s="15"/>
    </row>
    <row r="268" spans="1:24" s="2" customFormat="1" ht="21" customHeight="1">
      <c r="A268" s="200"/>
      <c r="B268" s="197"/>
      <c r="C268" s="198"/>
      <c r="D268" s="200"/>
      <c r="E268" s="91"/>
      <c r="F268" s="92" t="s">
        <v>11</v>
      </c>
      <c r="G268" s="93" t="s">
        <v>12</v>
      </c>
      <c r="H268" s="93" t="s">
        <v>13</v>
      </c>
      <c r="I268" s="200"/>
      <c r="J268" s="93" t="s">
        <v>14</v>
      </c>
      <c r="K268" s="93" t="s">
        <v>49</v>
      </c>
      <c r="L268" s="93" t="s">
        <v>15</v>
      </c>
      <c r="M268" s="93" t="s">
        <v>16</v>
      </c>
      <c r="N268" s="93" t="s">
        <v>17</v>
      </c>
      <c r="O268" s="93" t="s">
        <v>18</v>
      </c>
      <c r="P268" s="93" t="s">
        <v>19</v>
      </c>
      <c r="Q268" s="93" t="s">
        <v>50</v>
      </c>
      <c r="R268" s="93" t="s">
        <v>51</v>
      </c>
      <c r="S268" s="93" t="s">
        <v>20</v>
      </c>
      <c r="T268" s="93" t="s">
        <v>21</v>
      </c>
      <c r="U268" s="4"/>
      <c r="V268" s="15"/>
      <c r="W268" s="15"/>
      <c r="X268" s="15"/>
    </row>
    <row r="269" spans="1:24" s="2" customFormat="1" ht="11.25" customHeight="1">
      <c r="A269" s="71">
        <v>1</v>
      </c>
      <c r="B269" s="212">
        <v>2</v>
      </c>
      <c r="C269" s="213"/>
      <c r="D269" s="94">
        <v>3</v>
      </c>
      <c r="E269" s="94"/>
      <c r="F269" s="95">
        <v>4</v>
      </c>
      <c r="G269" s="94">
        <v>5</v>
      </c>
      <c r="H269" s="94">
        <v>6</v>
      </c>
      <c r="I269" s="94">
        <v>7</v>
      </c>
      <c r="J269" s="94">
        <v>8</v>
      </c>
      <c r="K269" s="94">
        <v>9</v>
      </c>
      <c r="L269" s="94">
        <v>10</v>
      </c>
      <c r="M269" s="94">
        <v>11</v>
      </c>
      <c r="N269" s="94">
        <v>12</v>
      </c>
      <c r="O269" s="94">
        <v>13</v>
      </c>
      <c r="P269" s="94">
        <v>14</v>
      </c>
      <c r="Q269" s="94">
        <v>15</v>
      </c>
      <c r="R269" s="94">
        <v>16</v>
      </c>
      <c r="S269" s="94">
        <v>17</v>
      </c>
      <c r="T269" s="94">
        <v>18</v>
      </c>
      <c r="U269" s="5"/>
      <c r="V269" s="15"/>
      <c r="W269" s="15"/>
      <c r="X269" s="15"/>
    </row>
    <row r="270" spans="1:24" s="2" customFormat="1" ht="11.25" customHeight="1">
      <c r="A270" s="192" t="s">
        <v>75</v>
      </c>
      <c r="B270" s="193"/>
      <c r="C270" s="193"/>
      <c r="D270" s="193"/>
      <c r="E270" s="193"/>
      <c r="F270" s="193"/>
      <c r="G270" s="193"/>
      <c r="H270" s="193"/>
      <c r="I270" s="193"/>
      <c r="J270" s="193"/>
      <c r="K270" s="193"/>
      <c r="L270" s="193"/>
      <c r="M270" s="193"/>
      <c r="N270" s="193"/>
      <c r="O270" s="193"/>
      <c r="P270" s="193"/>
      <c r="Q270" s="193"/>
      <c r="R270" s="193"/>
      <c r="S270" s="193"/>
      <c r="T270" s="194"/>
      <c r="U270" s="6"/>
      <c r="V270" s="15"/>
      <c r="W270" s="15"/>
      <c r="X270" s="15"/>
    </row>
    <row r="271" spans="1:24" s="57" customFormat="1" ht="20.25" customHeight="1">
      <c r="A271" s="96">
        <v>175</v>
      </c>
      <c r="B271" s="190" t="s">
        <v>99</v>
      </c>
      <c r="C271" s="191"/>
      <c r="D271" s="97">
        <v>180</v>
      </c>
      <c r="E271" s="97">
        <v>27.29</v>
      </c>
      <c r="F271" s="98">
        <v>4.1399999999999997</v>
      </c>
      <c r="G271" s="98">
        <v>5.94</v>
      </c>
      <c r="H271" s="98">
        <v>30.21</v>
      </c>
      <c r="I271" s="98">
        <v>190.88</v>
      </c>
      <c r="J271" s="99">
        <v>0.16</v>
      </c>
      <c r="K271" s="98">
        <v>0.12</v>
      </c>
      <c r="L271" s="98">
        <v>4.0199999999999996</v>
      </c>
      <c r="M271" s="99">
        <v>0.04</v>
      </c>
      <c r="N271" s="97">
        <v>0</v>
      </c>
      <c r="O271" s="98">
        <v>152.88</v>
      </c>
      <c r="P271" s="98">
        <v>220.2</v>
      </c>
      <c r="Q271" s="99">
        <v>0</v>
      </c>
      <c r="R271" s="99">
        <v>0</v>
      </c>
      <c r="S271" s="98">
        <v>66.12</v>
      </c>
      <c r="T271" s="98">
        <v>0.36</v>
      </c>
      <c r="U271" s="55"/>
      <c r="V271" s="56"/>
      <c r="W271" s="56"/>
      <c r="X271" s="56"/>
    </row>
    <row r="272" spans="1:24" s="49" customFormat="1" ht="12.75" customHeight="1">
      <c r="A272" s="153">
        <v>3</v>
      </c>
      <c r="B272" s="201" t="s">
        <v>88</v>
      </c>
      <c r="C272" s="201"/>
      <c r="D272" s="118">
        <v>50</v>
      </c>
      <c r="E272" s="119">
        <v>17</v>
      </c>
      <c r="F272" s="119">
        <v>3.81</v>
      </c>
      <c r="G272" s="154">
        <v>2.77</v>
      </c>
      <c r="H272" s="119">
        <v>17.77</v>
      </c>
      <c r="I272" s="119">
        <v>142.9</v>
      </c>
      <c r="J272" s="119">
        <v>0.04</v>
      </c>
      <c r="K272" s="119">
        <v>0.02</v>
      </c>
      <c r="L272" s="118">
        <v>10</v>
      </c>
      <c r="M272" s="118">
        <v>0.02</v>
      </c>
      <c r="N272" s="119">
        <v>0.2</v>
      </c>
      <c r="O272" s="119">
        <v>16</v>
      </c>
      <c r="P272" s="119">
        <v>11</v>
      </c>
      <c r="Q272" s="118">
        <v>0.03</v>
      </c>
      <c r="R272" s="118">
        <v>2E-3</v>
      </c>
      <c r="S272" s="119">
        <v>9</v>
      </c>
      <c r="T272" s="119">
        <v>2.2000000000000002</v>
      </c>
      <c r="U272" s="54"/>
      <c r="V272" s="54"/>
      <c r="W272" s="54"/>
      <c r="X272" s="54"/>
    </row>
    <row r="273" spans="1:25" s="49" customFormat="1" ht="11.25" customHeight="1">
      <c r="A273" s="140" t="s">
        <v>57</v>
      </c>
      <c r="B273" s="184" t="s">
        <v>71</v>
      </c>
      <c r="C273" s="184"/>
      <c r="D273" s="72">
        <v>120</v>
      </c>
      <c r="E273" s="73">
        <v>29.48</v>
      </c>
      <c r="F273" s="73">
        <v>1.5</v>
      </c>
      <c r="G273" s="73">
        <v>0.5</v>
      </c>
      <c r="H273" s="73">
        <v>2.1</v>
      </c>
      <c r="I273" s="73">
        <v>125.6</v>
      </c>
      <c r="J273" s="73">
        <v>0.04</v>
      </c>
      <c r="K273" s="73">
        <v>0.02</v>
      </c>
      <c r="L273" s="72">
        <v>10</v>
      </c>
      <c r="M273" s="73">
        <v>0.02</v>
      </c>
      <c r="N273" s="73">
        <v>0.2</v>
      </c>
      <c r="O273" s="73">
        <v>16</v>
      </c>
      <c r="P273" s="73">
        <v>11</v>
      </c>
      <c r="Q273" s="72">
        <v>0.03</v>
      </c>
      <c r="R273" s="72">
        <v>2E-3</v>
      </c>
      <c r="S273" s="73">
        <v>9</v>
      </c>
      <c r="T273" s="73">
        <v>2.2000000000000002</v>
      </c>
      <c r="U273" s="47"/>
      <c r="V273" s="59"/>
      <c r="W273" s="59"/>
      <c r="X273" s="59"/>
    </row>
    <row r="274" spans="1:25" s="57" customFormat="1" ht="12.75" customHeight="1">
      <c r="A274" s="71">
        <v>377</v>
      </c>
      <c r="B274" s="184" t="s">
        <v>41</v>
      </c>
      <c r="C274" s="184"/>
      <c r="D274" s="72">
        <v>200</v>
      </c>
      <c r="E274" s="73">
        <v>4.53</v>
      </c>
      <c r="F274" s="73">
        <v>0.26</v>
      </c>
      <c r="G274" s="73">
        <v>0.06</v>
      </c>
      <c r="H274" s="73">
        <v>15.22</v>
      </c>
      <c r="I274" s="73">
        <f>F274*4+G274*9+H274*4</f>
        <v>62.46</v>
      </c>
      <c r="J274" s="73">
        <v>0</v>
      </c>
      <c r="K274" s="73">
        <v>0.01</v>
      </c>
      <c r="L274" s="73">
        <v>2.9</v>
      </c>
      <c r="M274" s="75">
        <v>0</v>
      </c>
      <c r="N274" s="73">
        <v>0.06</v>
      </c>
      <c r="O274" s="73">
        <v>8.0500000000000007</v>
      </c>
      <c r="P274" s="73">
        <v>9.7799999999999994</v>
      </c>
      <c r="Q274" s="73">
        <v>1.7000000000000001E-2</v>
      </c>
      <c r="R274" s="74">
        <v>0</v>
      </c>
      <c r="S274" s="73">
        <v>5.24</v>
      </c>
      <c r="T274" s="73">
        <v>0.87</v>
      </c>
      <c r="U274" s="58"/>
      <c r="V274" s="59"/>
      <c r="W274" s="59"/>
      <c r="X274" s="59"/>
    </row>
    <row r="275" spans="1:25" s="1" customFormat="1" ht="11.25" customHeight="1">
      <c r="A275" s="101" t="s">
        <v>76</v>
      </c>
      <c r="B275" s="102"/>
      <c r="C275" s="102"/>
      <c r="D275" s="103">
        <f t="shared" ref="D275:T275" si="71">SUM(D271:D274)</f>
        <v>550</v>
      </c>
      <c r="E275" s="104">
        <f t="shared" si="71"/>
        <v>78.3</v>
      </c>
      <c r="F275" s="104">
        <f t="shared" si="71"/>
        <v>9.7099999999999991</v>
      </c>
      <c r="G275" s="104">
        <f t="shared" si="71"/>
        <v>9.2700000000000014</v>
      </c>
      <c r="H275" s="104">
        <f t="shared" si="71"/>
        <v>65.300000000000011</v>
      </c>
      <c r="I275" s="104">
        <f t="shared" si="71"/>
        <v>521.84</v>
      </c>
      <c r="J275" s="104">
        <f t="shared" si="71"/>
        <v>0.24000000000000002</v>
      </c>
      <c r="K275" s="104">
        <f t="shared" si="71"/>
        <v>0.16999999999999998</v>
      </c>
      <c r="L275" s="104">
        <f t="shared" si="71"/>
        <v>26.919999999999998</v>
      </c>
      <c r="M275" s="104">
        <f t="shared" si="71"/>
        <v>0.08</v>
      </c>
      <c r="N275" s="104">
        <f t="shared" si="71"/>
        <v>0.46</v>
      </c>
      <c r="O275" s="104">
        <f t="shared" si="71"/>
        <v>192.93</v>
      </c>
      <c r="P275" s="104">
        <f t="shared" si="71"/>
        <v>251.98</v>
      </c>
      <c r="Q275" s="104">
        <f t="shared" si="71"/>
        <v>7.6999999999999999E-2</v>
      </c>
      <c r="R275" s="104">
        <f t="shared" si="71"/>
        <v>4.0000000000000001E-3</v>
      </c>
      <c r="S275" s="104">
        <f t="shared" si="71"/>
        <v>89.36</v>
      </c>
      <c r="T275" s="104">
        <f t="shared" si="71"/>
        <v>5.63</v>
      </c>
      <c r="U275" s="23"/>
      <c r="V275" s="24"/>
      <c r="W275" s="24"/>
      <c r="X275" s="24"/>
    </row>
    <row r="276" spans="1:25" s="1" customFormat="1" ht="11.25" customHeight="1">
      <c r="A276" s="185" t="s">
        <v>54</v>
      </c>
      <c r="B276" s="186"/>
      <c r="C276" s="186"/>
      <c r="D276" s="187"/>
      <c r="E276" s="162"/>
      <c r="F276" s="106">
        <f t="shared" ref="F276:T276" si="72">F275/F293</f>
        <v>0.10788888888888888</v>
      </c>
      <c r="G276" s="108">
        <f t="shared" si="72"/>
        <v>0.1007608695652174</v>
      </c>
      <c r="H276" s="108">
        <f t="shared" si="72"/>
        <v>0.17049608355091386</v>
      </c>
      <c r="I276" s="108">
        <f t="shared" si="72"/>
        <v>0.19185294117647059</v>
      </c>
      <c r="J276" s="108">
        <f t="shared" si="72"/>
        <v>0.17142857142857146</v>
      </c>
      <c r="K276" s="108">
        <f t="shared" si="72"/>
        <v>0.10624999999999998</v>
      </c>
      <c r="L276" s="108">
        <f t="shared" si="72"/>
        <v>0.38457142857142856</v>
      </c>
      <c r="M276" s="108">
        <f t="shared" si="72"/>
        <v>8.8888888888888892E-2</v>
      </c>
      <c r="N276" s="108">
        <f t="shared" si="72"/>
        <v>3.8333333333333337E-2</v>
      </c>
      <c r="O276" s="108">
        <f t="shared" si="72"/>
        <v>0.160775</v>
      </c>
      <c r="P276" s="108">
        <f t="shared" si="72"/>
        <v>0.20998333333333333</v>
      </c>
      <c r="Q276" s="108">
        <f t="shared" si="72"/>
        <v>5.4999999999999997E-3</v>
      </c>
      <c r="R276" s="108">
        <f t="shared" si="72"/>
        <v>0.04</v>
      </c>
      <c r="S276" s="108">
        <f t="shared" si="72"/>
        <v>0.29786666666666667</v>
      </c>
      <c r="T276" s="108">
        <f t="shared" si="72"/>
        <v>0.31277777777777777</v>
      </c>
      <c r="U276" s="28"/>
      <c r="V276" s="24"/>
      <c r="W276" s="24"/>
      <c r="X276" s="24"/>
    </row>
    <row r="277" spans="1:25" s="1" customFormat="1" ht="11.25" customHeight="1">
      <c r="A277" s="192" t="s">
        <v>24</v>
      </c>
      <c r="B277" s="193"/>
      <c r="C277" s="193"/>
      <c r="D277" s="193"/>
      <c r="E277" s="193"/>
      <c r="F277" s="193"/>
      <c r="G277" s="193"/>
      <c r="H277" s="193"/>
      <c r="I277" s="193"/>
      <c r="J277" s="193"/>
      <c r="K277" s="193"/>
      <c r="L277" s="193"/>
      <c r="M277" s="193"/>
      <c r="N277" s="193"/>
      <c r="O277" s="193"/>
      <c r="P277" s="193"/>
      <c r="Q277" s="193"/>
      <c r="R277" s="193"/>
      <c r="S277" s="193"/>
      <c r="T277" s="194"/>
      <c r="U277" s="6"/>
      <c r="V277" s="19"/>
      <c r="W277" s="19"/>
      <c r="X277" s="19"/>
    </row>
    <row r="278" spans="1:25" s="64" customFormat="1" ht="21.75" customHeight="1">
      <c r="A278" s="71" t="s">
        <v>80</v>
      </c>
      <c r="B278" s="190" t="s">
        <v>111</v>
      </c>
      <c r="C278" s="191"/>
      <c r="D278" s="72">
        <v>100</v>
      </c>
      <c r="E278" s="73">
        <v>10.54</v>
      </c>
      <c r="F278" s="73">
        <v>1.5</v>
      </c>
      <c r="G278" s="73">
        <v>2.1833333333333331</v>
      </c>
      <c r="H278" s="73">
        <v>9.3333333333333339</v>
      </c>
      <c r="I278" s="73">
        <v>62.983333333333334</v>
      </c>
      <c r="J278" s="73">
        <v>0.1</v>
      </c>
      <c r="K278" s="73">
        <v>0.11666666666666668</v>
      </c>
      <c r="L278" s="73">
        <v>25.833333333333332</v>
      </c>
      <c r="M278" s="74">
        <v>0.11833333333333333</v>
      </c>
      <c r="N278" s="73">
        <v>0.5</v>
      </c>
      <c r="O278" s="73">
        <v>47</v>
      </c>
      <c r="P278" s="73">
        <v>31.499999999999996</v>
      </c>
      <c r="Q278" s="73">
        <v>0.33333333333333331</v>
      </c>
      <c r="R278" s="74">
        <v>1.6666666666666668E-3</v>
      </c>
      <c r="S278" s="73">
        <v>17.5</v>
      </c>
      <c r="T278" s="73">
        <v>1</v>
      </c>
      <c r="U278" s="58"/>
      <c r="V278" s="59"/>
      <c r="W278" s="59"/>
      <c r="X278" s="59"/>
      <c r="Y278" s="57"/>
    </row>
    <row r="279" spans="1:25" s="57" customFormat="1" ht="12.75" customHeight="1">
      <c r="A279" s="71">
        <v>84</v>
      </c>
      <c r="B279" s="190" t="s">
        <v>94</v>
      </c>
      <c r="C279" s="191"/>
      <c r="D279" s="75">
        <v>250</v>
      </c>
      <c r="E279" s="73">
        <v>14.85</v>
      </c>
      <c r="F279" s="73">
        <v>2.44</v>
      </c>
      <c r="G279" s="73">
        <v>6.41</v>
      </c>
      <c r="H279" s="73">
        <v>11.11</v>
      </c>
      <c r="I279" s="73">
        <v>111.89</v>
      </c>
      <c r="J279" s="74">
        <v>0.03</v>
      </c>
      <c r="K279" s="74">
        <v>0.03</v>
      </c>
      <c r="L279" s="73">
        <v>11.39</v>
      </c>
      <c r="M279" s="73">
        <v>0.05</v>
      </c>
      <c r="N279" s="75">
        <v>0.09</v>
      </c>
      <c r="O279" s="73">
        <v>45.49</v>
      </c>
      <c r="P279" s="73">
        <v>29.96</v>
      </c>
      <c r="Q279" s="74">
        <v>1.44</v>
      </c>
      <c r="R279" s="74">
        <v>2E-3</v>
      </c>
      <c r="S279" s="73">
        <v>15.35</v>
      </c>
      <c r="T279" s="73">
        <v>0.49</v>
      </c>
      <c r="U279" s="58"/>
      <c r="V279" s="59"/>
      <c r="W279" s="59"/>
      <c r="X279" s="59"/>
    </row>
    <row r="280" spans="1:25" s="57" customFormat="1" ht="24.75" customHeight="1">
      <c r="A280" s="96">
        <v>261</v>
      </c>
      <c r="B280" s="190" t="s">
        <v>89</v>
      </c>
      <c r="C280" s="191"/>
      <c r="D280" s="97">
        <v>130</v>
      </c>
      <c r="E280" s="98">
        <v>49.8</v>
      </c>
      <c r="F280" s="98">
        <v>33.090000000000003</v>
      </c>
      <c r="G280" s="98">
        <v>27.34</v>
      </c>
      <c r="H280" s="98">
        <v>8.82</v>
      </c>
      <c r="I280" s="98">
        <v>414.37</v>
      </c>
      <c r="J280" s="99">
        <v>0.09</v>
      </c>
      <c r="K280" s="98">
        <v>0</v>
      </c>
      <c r="L280" s="98">
        <v>4.4999999999999998E-2</v>
      </c>
      <c r="M280" s="99">
        <v>80.62</v>
      </c>
      <c r="N280" s="99">
        <v>0</v>
      </c>
      <c r="O280" s="98">
        <v>102.19</v>
      </c>
      <c r="P280" s="98">
        <v>249.19</v>
      </c>
      <c r="Q280" s="99">
        <v>0</v>
      </c>
      <c r="R280" s="99">
        <v>0</v>
      </c>
      <c r="S280" s="98">
        <v>38.07</v>
      </c>
      <c r="T280" s="98">
        <v>3.04</v>
      </c>
      <c r="U280" s="55"/>
      <c r="V280" s="56"/>
      <c r="W280" s="56"/>
      <c r="X280" s="56"/>
    </row>
    <row r="281" spans="1:25" s="57" customFormat="1" ht="12" customHeight="1">
      <c r="A281" s="71">
        <v>203</v>
      </c>
      <c r="B281" s="190" t="s">
        <v>63</v>
      </c>
      <c r="C281" s="191"/>
      <c r="D281" s="72">
        <v>180</v>
      </c>
      <c r="E281" s="73">
        <v>10.97</v>
      </c>
      <c r="F281" s="73">
        <v>6.84</v>
      </c>
      <c r="G281" s="73">
        <v>4.1159999999999997</v>
      </c>
      <c r="H281" s="73">
        <v>43.740000000000009</v>
      </c>
      <c r="I281" s="73">
        <v>239.36400000000003</v>
      </c>
      <c r="J281" s="73">
        <v>0.108</v>
      </c>
      <c r="K281" s="73">
        <v>3.5999999999999997E-2</v>
      </c>
      <c r="L281" s="73">
        <v>0</v>
      </c>
      <c r="M281" s="74">
        <v>3.5999999999999997E-2</v>
      </c>
      <c r="N281" s="73">
        <v>1.5</v>
      </c>
      <c r="O281" s="73">
        <v>15.936</v>
      </c>
      <c r="P281" s="73">
        <v>55.451999999999998</v>
      </c>
      <c r="Q281" s="73">
        <v>0.93600000000000005</v>
      </c>
      <c r="R281" s="74">
        <v>1.8000000000000002E-3</v>
      </c>
      <c r="S281" s="73">
        <v>10.164000000000001</v>
      </c>
      <c r="T281" s="73">
        <v>1.032</v>
      </c>
      <c r="U281" s="58"/>
      <c r="V281" s="59"/>
      <c r="W281" s="59"/>
      <c r="X281" s="59"/>
    </row>
    <row r="282" spans="1:25" s="57" customFormat="1" ht="11.25" customHeight="1">
      <c r="A282" s="76">
        <v>345</v>
      </c>
      <c r="B282" s="216" t="s">
        <v>44</v>
      </c>
      <c r="C282" s="217"/>
      <c r="D282" s="109">
        <v>200</v>
      </c>
      <c r="E282" s="110">
        <v>4.9000000000000004</v>
      </c>
      <c r="F282" s="110">
        <v>0.06</v>
      </c>
      <c r="G282" s="110">
        <v>0.02</v>
      </c>
      <c r="H282" s="110">
        <v>20.73</v>
      </c>
      <c r="I282" s="110">
        <v>83.34</v>
      </c>
      <c r="J282" s="110">
        <v>0</v>
      </c>
      <c r="K282" s="110">
        <v>0</v>
      </c>
      <c r="L282" s="110">
        <v>2.5</v>
      </c>
      <c r="M282" s="110">
        <v>4.0000000000000001E-3</v>
      </c>
      <c r="N282" s="110">
        <v>0.2</v>
      </c>
      <c r="O282" s="110">
        <v>4</v>
      </c>
      <c r="P282" s="110">
        <v>3.3</v>
      </c>
      <c r="Q282" s="110">
        <v>0.08</v>
      </c>
      <c r="R282" s="110">
        <v>1E-3</v>
      </c>
      <c r="S282" s="110">
        <v>1.7</v>
      </c>
      <c r="T282" s="110">
        <v>0.15</v>
      </c>
      <c r="U282" s="58"/>
      <c r="V282" s="59"/>
      <c r="W282" s="59"/>
      <c r="X282" s="59"/>
    </row>
    <row r="283" spans="1:25" s="57" customFormat="1" ht="11.25" customHeight="1">
      <c r="A283" s="111" t="s">
        <v>57</v>
      </c>
      <c r="B283" s="190" t="s">
        <v>42</v>
      </c>
      <c r="C283" s="191"/>
      <c r="D283" s="72">
        <v>40</v>
      </c>
      <c r="E283" s="73">
        <v>2.56</v>
      </c>
      <c r="F283" s="73">
        <f>2.64*D283/40</f>
        <v>2.64</v>
      </c>
      <c r="G283" s="73">
        <f>0.48*D283/40</f>
        <v>0.48</v>
      </c>
      <c r="H283" s="73">
        <f>13.68*D283/40</f>
        <v>13.680000000000001</v>
      </c>
      <c r="I283" s="112">
        <f>F283*4+G283*9+H283*4</f>
        <v>69.600000000000009</v>
      </c>
      <c r="J283" s="75">
        <f>0.08*D283/40</f>
        <v>0.08</v>
      </c>
      <c r="K283" s="73">
        <f>0.04*D283/40</f>
        <v>0.04</v>
      </c>
      <c r="L283" s="72">
        <v>0</v>
      </c>
      <c r="M283" s="72">
        <v>0</v>
      </c>
      <c r="N283" s="73">
        <f>2.4*D283/40</f>
        <v>2.4</v>
      </c>
      <c r="O283" s="73">
        <f>14*D283/40</f>
        <v>14</v>
      </c>
      <c r="P283" s="73">
        <f>63.2*D283/40</f>
        <v>63.2</v>
      </c>
      <c r="Q283" s="73">
        <f>1.2*D283/40</f>
        <v>1.2</v>
      </c>
      <c r="R283" s="74">
        <f>0.001*D283/40</f>
        <v>1E-3</v>
      </c>
      <c r="S283" s="73">
        <f>9.4*D283/40</f>
        <v>9.4</v>
      </c>
      <c r="T283" s="75">
        <f>0.78*D283/40</f>
        <v>0.78</v>
      </c>
      <c r="U283" s="60"/>
      <c r="V283" s="61"/>
      <c r="W283" s="61"/>
      <c r="X283" s="61"/>
    </row>
    <row r="284" spans="1:25" s="57" customFormat="1" ht="11.25" customHeight="1">
      <c r="A284" s="100" t="s">
        <v>57</v>
      </c>
      <c r="B284" s="190" t="s">
        <v>46</v>
      </c>
      <c r="C284" s="191"/>
      <c r="D284" s="72">
        <v>40</v>
      </c>
      <c r="E284" s="73">
        <v>4.38</v>
      </c>
      <c r="F284" s="73">
        <f>1.52*D284/30</f>
        <v>2.0266666666666664</v>
      </c>
      <c r="G284" s="74">
        <f>0.16*D284/30</f>
        <v>0.21333333333333335</v>
      </c>
      <c r="H284" s="74">
        <f>9.84*D284/30</f>
        <v>13.120000000000001</v>
      </c>
      <c r="I284" s="74">
        <f>F284*4+G284*9+H284*4</f>
        <v>62.506666666666668</v>
      </c>
      <c r="J284" s="74">
        <f>0.02*D284/30</f>
        <v>2.6666666666666668E-2</v>
      </c>
      <c r="K284" s="74">
        <f>0.01*D284/30</f>
        <v>1.3333333333333334E-2</v>
      </c>
      <c r="L284" s="74">
        <f>0.44*D284/30</f>
        <v>0.58666666666666667</v>
      </c>
      <c r="M284" s="74">
        <v>0</v>
      </c>
      <c r="N284" s="74">
        <f>0.7*D284/30</f>
        <v>0.93333333333333335</v>
      </c>
      <c r="O284" s="74">
        <f>4*D284/30</f>
        <v>5.333333333333333</v>
      </c>
      <c r="P284" s="74">
        <f>13*D284/30</f>
        <v>17.333333333333332</v>
      </c>
      <c r="Q284" s="74">
        <f>0.008*D284/30</f>
        <v>1.0666666666666666E-2</v>
      </c>
      <c r="R284" s="74">
        <f>0.001*D284/30</f>
        <v>1.3333333333333333E-3</v>
      </c>
      <c r="S284" s="74">
        <v>0</v>
      </c>
      <c r="T284" s="74">
        <f>0.22*D284/30</f>
        <v>0.29333333333333333</v>
      </c>
      <c r="U284" s="58"/>
      <c r="V284" s="59"/>
      <c r="W284" s="59"/>
      <c r="X284" s="59"/>
    </row>
    <row r="285" spans="1:25" s="2" customFormat="1" ht="11.25" customHeight="1">
      <c r="A285" s="101" t="s">
        <v>25</v>
      </c>
      <c r="B285" s="102"/>
      <c r="C285" s="102"/>
      <c r="D285" s="103">
        <f t="shared" ref="D285:I285" si="73">SUM(D278:D284)</f>
        <v>940</v>
      </c>
      <c r="E285" s="104">
        <f t="shared" si="73"/>
        <v>98</v>
      </c>
      <c r="F285" s="113">
        <f t="shared" si="73"/>
        <v>48.596666666666671</v>
      </c>
      <c r="G285" s="114">
        <f t="shared" si="73"/>
        <v>40.762666666666668</v>
      </c>
      <c r="H285" s="114">
        <f t="shared" si="73"/>
        <v>120.53333333333336</v>
      </c>
      <c r="I285" s="114">
        <f t="shared" si="73"/>
        <v>1044.0540000000001</v>
      </c>
      <c r="J285" s="113">
        <f t="shared" ref="J285:T285" si="74">SUM(J278:J284)</f>
        <v>0.4346666666666667</v>
      </c>
      <c r="K285" s="113">
        <f t="shared" si="74"/>
        <v>0.23600000000000002</v>
      </c>
      <c r="L285" s="114">
        <f t="shared" si="74"/>
        <v>40.354999999999997</v>
      </c>
      <c r="M285" s="113">
        <f t="shared" si="74"/>
        <v>80.828333333333347</v>
      </c>
      <c r="N285" s="170">
        <f t="shared" si="74"/>
        <v>5.6233333333333331</v>
      </c>
      <c r="O285" s="114">
        <f t="shared" si="74"/>
        <v>233.94933333333336</v>
      </c>
      <c r="P285" s="114">
        <f t="shared" si="74"/>
        <v>449.93533333333329</v>
      </c>
      <c r="Q285" s="113">
        <f t="shared" si="74"/>
        <v>4</v>
      </c>
      <c r="R285" s="113">
        <f t="shared" si="74"/>
        <v>8.8000000000000005E-3</v>
      </c>
      <c r="S285" s="114">
        <f t="shared" si="74"/>
        <v>92.184000000000012</v>
      </c>
      <c r="T285" s="113">
        <f t="shared" si="74"/>
        <v>6.7853333333333339</v>
      </c>
      <c r="U285" s="23"/>
      <c r="V285" s="24"/>
      <c r="W285" s="24"/>
      <c r="X285" s="24"/>
    </row>
    <row r="286" spans="1:25" s="2" customFormat="1" ht="11.25" customHeight="1">
      <c r="A286" s="185" t="s">
        <v>54</v>
      </c>
      <c r="B286" s="186"/>
      <c r="C286" s="186"/>
      <c r="D286" s="187"/>
      <c r="E286" s="169">
        <f>98-E285</f>
        <v>0</v>
      </c>
      <c r="F286" s="106">
        <f t="shared" ref="F286:T286" si="75">F285/F293</f>
        <v>0.53996296296296298</v>
      </c>
      <c r="G286" s="108">
        <f t="shared" si="75"/>
        <v>0.44307246376811593</v>
      </c>
      <c r="H286" s="108">
        <f t="shared" si="75"/>
        <v>0.31470844212358579</v>
      </c>
      <c r="I286" s="108">
        <f t="shared" si="75"/>
        <v>0.38384338235294119</v>
      </c>
      <c r="J286" s="108">
        <f t="shared" si="75"/>
        <v>0.31047619047619052</v>
      </c>
      <c r="K286" s="108">
        <f t="shared" si="75"/>
        <v>0.14749999999999999</v>
      </c>
      <c r="L286" s="108">
        <f t="shared" si="75"/>
        <v>0.5764999999999999</v>
      </c>
      <c r="M286" s="108">
        <f t="shared" si="75"/>
        <v>89.809259259259278</v>
      </c>
      <c r="N286" s="108">
        <f t="shared" si="75"/>
        <v>0.46861111111111109</v>
      </c>
      <c r="O286" s="108">
        <f t="shared" si="75"/>
        <v>0.19495777777777779</v>
      </c>
      <c r="P286" s="108">
        <f t="shared" si="75"/>
        <v>0.37494611111111109</v>
      </c>
      <c r="Q286" s="108">
        <f t="shared" si="75"/>
        <v>0.2857142857142857</v>
      </c>
      <c r="R286" s="108">
        <f t="shared" si="75"/>
        <v>8.7999999999999995E-2</v>
      </c>
      <c r="S286" s="108">
        <f t="shared" si="75"/>
        <v>0.30728000000000005</v>
      </c>
      <c r="T286" s="108">
        <f t="shared" si="75"/>
        <v>0.376962962962963</v>
      </c>
      <c r="U286" s="28"/>
      <c r="V286" s="24"/>
      <c r="W286" s="24"/>
      <c r="X286" s="24"/>
    </row>
    <row r="287" spans="1:25" s="2" customFormat="1" ht="11.25" customHeight="1">
      <c r="A287" s="192" t="s">
        <v>26</v>
      </c>
      <c r="B287" s="193"/>
      <c r="C287" s="193"/>
      <c r="D287" s="193"/>
      <c r="E287" s="193"/>
      <c r="F287" s="193"/>
      <c r="G287" s="193"/>
      <c r="H287" s="193"/>
      <c r="I287" s="193"/>
      <c r="J287" s="193"/>
      <c r="K287" s="193"/>
      <c r="L287" s="193"/>
      <c r="M287" s="193"/>
      <c r="N287" s="193"/>
      <c r="O287" s="193"/>
      <c r="P287" s="193"/>
      <c r="Q287" s="193"/>
      <c r="R287" s="193"/>
      <c r="S287" s="193"/>
      <c r="T287" s="194"/>
      <c r="U287" s="6"/>
      <c r="V287" s="19"/>
      <c r="W287" s="19"/>
      <c r="X287" s="19"/>
    </row>
    <row r="288" spans="1:25" s="42" customFormat="1" ht="22.35" customHeight="1">
      <c r="A288" s="117"/>
      <c r="B288" s="201"/>
      <c r="C288" s="201"/>
      <c r="D288" s="121"/>
      <c r="E288" s="119"/>
      <c r="F288" s="119"/>
      <c r="G288" s="122"/>
      <c r="H288" s="122"/>
      <c r="I288" s="122"/>
      <c r="J288" s="119"/>
      <c r="K288" s="119"/>
      <c r="L288" s="119"/>
      <c r="M288" s="119"/>
      <c r="N288" s="121"/>
      <c r="O288" s="119"/>
      <c r="P288" s="119"/>
      <c r="Q288" s="122"/>
      <c r="R288" s="119"/>
      <c r="S288" s="122"/>
      <c r="T288" s="119"/>
      <c r="V288" s="182" t="s">
        <v>59</v>
      </c>
      <c r="W288" s="182" t="s">
        <v>60</v>
      </c>
      <c r="X288" s="182" t="s">
        <v>61</v>
      </c>
    </row>
    <row r="289" spans="1:24" s="42" customFormat="1" ht="11.25" customHeight="1">
      <c r="A289" s="123"/>
      <c r="B289" s="223"/>
      <c r="C289" s="223"/>
      <c r="D289" s="109"/>
      <c r="E289" s="110"/>
      <c r="F289" s="110"/>
      <c r="G289" s="110"/>
      <c r="H289" s="110"/>
      <c r="I289" s="110"/>
      <c r="J289" s="110"/>
      <c r="K289" s="110"/>
      <c r="L289" s="110"/>
      <c r="M289" s="110"/>
      <c r="N289" s="110"/>
      <c r="O289" s="110"/>
      <c r="P289" s="110"/>
      <c r="Q289" s="110"/>
      <c r="R289" s="110"/>
      <c r="S289" s="110"/>
      <c r="T289" s="110"/>
      <c r="V289" s="182"/>
      <c r="W289" s="182"/>
      <c r="X289" s="182"/>
    </row>
    <row r="290" spans="1:24" s="1" customFormat="1" ht="11.25" customHeight="1">
      <c r="A290" s="101" t="s">
        <v>27</v>
      </c>
      <c r="B290" s="102"/>
      <c r="C290" s="102"/>
      <c r="D290" s="103">
        <f t="shared" ref="D290:T290" si="76">SUM(D288:D289)</f>
        <v>0</v>
      </c>
      <c r="E290" s="104">
        <f t="shared" si="76"/>
        <v>0</v>
      </c>
      <c r="F290" s="104">
        <f t="shared" si="76"/>
        <v>0</v>
      </c>
      <c r="G290" s="104">
        <f t="shared" si="76"/>
        <v>0</v>
      </c>
      <c r="H290" s="104">
        <f t="shared" si="76"/>
        <v>0</v>
      </c>
      <c r="I290" s="104">
        <f t="shared" si="76"/>
        <v>0</v>
      </c>
      <c r="J290" s="104">
        <f t="shared" si="76"/>
        <v>0</v>
      </c>
      <c r="K290" s="104">
        <f t="shared" si="76"/>
        <v>0</v>
      </c>
      <c r="L290" s="104">
        <f t="shared" si="76"/>
        <v>0</v>
      </c>
      <c r="M290" s="104">
        <f t="shared" si="76"/>
        <v>0</v>
      </c>
      <c r="N290" s="104">
        <f t="shared" si="76"/>
        <v>0</v>
      </c>
      <c r="O290" s="104">
        <f t="shared" si="76"/>
        <v>0</v>
      </c>
      <c r="P290" s="104">
        <f t="shared" si="76"/>
        <v>0</v>
      </c>
      <c r="Q290" s="104">
        <f t="shared" si="76"/>
        <v>0</v>
      </c>
      <c r="R290" s="104">
        <f t="shared" si="76"/>
        <v>0</v>
      </c>
      <c r="S290" s="104">
        <f t="shared" si="76"/>
        <v>0</v>
      </c>
      <c r="T290" s="104">
        <f t="shared" si="76"/>
        <v>0</v>
      </c>
      <c r="U290" s="23"/>
      <c r="V290" s="182"/>
      <c r="W290" s="182"/>
      <c r="X290" s="182"/>
    </row>
    <row r="291" spans="1:24" s="1" customFormat="1" ht="11.25" customHeight="1">
      <c r="A291" s="185" t="s">
        <v>54</v>
      </c>
      <c r="B291" s="186"/>
      <c r="C291" s="186"/>
      <c r="D291" s="187"/>
      <c r="E291" s="124"/>
      <c r="F291" s="107">
        <f>F290/F293</f>
        <v>0</v>
      </c>
      <c r="G291" s="108">
        <f t="shared" ref="G291:T291" si="77">G290/G293</f>
        <v>0</v>
      </c>
      <c r="H291" s="108">
        <f t="shared" si="77"/>
        <v>0</v>
      </c>
      <c r="I291" s="108">
        <f t="shared" si="77"/>
        <v>0</v>
      </c>
      <c r="J291" s="108">
        <f t="shared" si="77"/>
        <v>0</v>
      </c>
      <c r="K291" s="108">
        <f t="shared" si="77"/>
        <v>0</v>
      </c>
      <c r="L291" s="108">
        <f t="shared" si="77"/>
        <v>0</v>
      </c>
      <c r="M291" s="108">
        <f t="shared" si="77"/>
        <v>0</v>
      </c>
      <c r="N291" s="108">
        <f t="shared" si="77"/>
        <v>0</v>
      </c>
      <c r="O291" s="108">
        <f t="shared" si="77"/>
        <v>0</v>
      </c>
      <c r="P291" s="108">
        <f t="shared" si="77"/>
        <v>0</v>
      </c>
      <c r="Q291" s="108">
        <f t="shared" si="77"/>
        <v>0</v>
      </c>
      <c r="R291" s="108">
        <f t="shared" si="77"/>
        <v>0</v>
      </c>
      <c r="S291" s="108">
        <f t="shared" si="77"/>
        <v>0</v>
      </c>
      <c r="T291" s="108">
        <f t="shared" si="77"/>
        <v>0</v>
      </c>
      <c r="U291" s="28"/>
      <c r="V291" s="45"/>
      <c r="W291" s="45"/>
      <c r="X291" s="45"/>
    </row>
    <row r="292" spans="1:24" s="1" customFormat="1" ht="11.25" customHeight="1">
      <c r="A292" s="101" t="s">
        <v>53</v>
      </c>
      <c r="B292" s="102"/>
      <c r="C292" s="102"/>
      <c r="D292" s="125">
        <f>D285+D275</f>
        <v>1490</v>
      </c>
      <c r="E292" s="126">
        <f>E285+E275</f>
        <v>176.3</v>
      </c>
      <c r="F292" s="113">
        <f t="shared" ref="F292:T292" si="78">SUM(F275,F285,F290)</f>
        <v>58.306666666666672</v>
      </c>
      <c r="G292" s="114">
        <f t="shared" si="78"/>
        <v>50.032666666666671</v>
      </c>
      <c r="H292" s="114">
        <f t="shared" si="78"/>
        <v>185.83333333333337</v>
      </c>
      <c r="I292" s="114">
        <f t="shared" si="78"/>
        <v>1565.8940000000002</v>
      </c>
      <c r="J292" s="113">
        <f t="shared" si="78"/>
        <v>0.67466666666666675</v>
      </c>
      <c r="K292" s="113">
        <f t="shared" si="78"/>
        <v>0.40600000000000003</v>
      </c>
      <c r="L292" s="114">
        <f t="shared" si="78"/>
        <v>67.274999999999991</v>
      </c>
      <c r="M292" s="113">
        <f t="shared" si="78"/>
        <v>80.908333333333346</v>
      </c>
      <c r="N292" s="113">
        <f t="shared" si="78"/>
        <v>6.083333333333333</v>
      </c>
      <c r="O292" s="114">
        <f t="shared" si="78"/>
        <v>426.87933333333336</v>
      </c>
      <c r="P292" s="114">
        <f t="shared" si="78"/>
        <v>701.91533333333325</v>
      </c>
      <c r="Q292" s="113">
        <f t="shared" si="78"/>
        <v>4.077</v>
      </c>
      <c r="R292" s="116">
        <f t="shared" si="78"/>
        <v>1.2800000000000001E-2</v>
      </c>
      <c r="S292" s="113">
        <f t="shared" si="78"/>
        <v>181.54400000000001</v>
      </c>
      <c r="T292" s="113">
        <f t="shared" si="78"/>
        <v>12.415333333333333</v>
      </c>
      <c r="U292" s="25"/>
      <c r="V292" s="36">
        <f>AVERAGE(I276,I306,I339,I378,I414)</f>
        <v>0.18343749999999998</v>
      </c>
      <c r="W292" s="36">
        <f>AVERAGE(I286,I315,I351,I389,I426)</f>
        <v>430.23192169117647</v>
      </c>
      <c r="X292" s="36">
        <f>AVERAGE(I291,I321,I358,I395,I432)</f>
        <v>0</v>
      </c>
    </row>
    <row r="293" spans="1:24" s="1" customFormat="1" ht="11.25" customHeight="1">
      <c r="A293" s="220" t="s">
        <v>55</v>
      </c>
      <c r="B293" s="221"/>
      <c r="C293" s="221"/>
      <c r="D293" s="222"/>
      <c r="E293" s="127"/>
      <c r="F293" s="73">
        <v>90</v>
      </c>
      <c r="G293" s="112">
        <v>92</v>
      </c>
      <c r="H293" s="112">
        <v>383</v>
      </c>
      <c r="I293" s="112">
        <v>2720</v>
      </c>
      <c r="J293" s="73">
        <v>1.4</v>
      </c>
      <c r="K293" s="73">
        <v>1.6</v>
      </c>
      <c r="L293" s="72">
        <v>70</v>
      </c>
      <c r="M293" s="73">
        <v>0.9</v>
      </c>
      <c r="N293" s="72">
        <v>12</v>
      </c>
      <c r="O293" s="72">
        <v>1200</v>
      </c>
      <c r="P293" s="72">
        <v>1200</v>
      </c>
      <c r="Q293" s="72">
        <v>14</v>
      </c>
      <c r="R293" s="112">
        <v>0.1</v>
      </c>
      <c r="S293" s="72">
        <v>300</v>
      </c>
      <c r="T293" s="73">
        <v>18</v>
      </c>
      <c r="U293" s="34"/>
      <c r="V293" s="35"/>
      <c r="W293" s="35"/>
      <c r="X293" s="35"/>
    </row>
    <row r="294" spans="1:24" s="1" customFormat="1" ht="11.25" customHeight="1">
      <c r="A294" s="185" t="s">
        <v>54</v>
      </c>
      <c r="B294" s="186"/>
      <c r="C294" s="186"/>
      <c r="D294" s="187"/>
      <c r="E294" s="124"/>
      <c r="F294" s="107">
        <f t="shared" ref="F294:T294" si="79">F292/F293</f>
        <v>0.6478518518518519</v>
      </c>
      <c r="G294" s="108">
        <f t="shared" si="79"/>
        <v>0.54383333333333339</v>
      </c>
      <c r="H294" s="108">
        <f t="shared" si="79"/>
        <v>0.48520452567449968</v>
      </c>
      <c r="I294" s="108">
        <f t="shared" si="79"/>
        <v>0.5756963235294118</v>
      </c>
      <c r="J294" s="108">
        <f t="shared" si="79"/>
        <v>0.481904761904762</v>
      </c>
      <c r="K294" s="108">
        <f t="shared" si="79"/>
        <v>0.25374999999999998</v>
      </c>
      <c r="L294" s="108">
        <f t="shared" si="79"/>
        <v>0.96107142857142847</v>
      </c>
      <c r="M294" s="128">
        <f>M292/M293</f>
        <v>89.898148148148167</v>
      </c>
      <c r="N294" s="108">
        <f t="shared" si="79"/>
        <v>0.50694444444444442</v>
      </c>
      <c r="O294" s="108">
        <f t="shared" si="79"/>
        <v>0.35573277777777779</v>
      </c>
      <c r="P294" s="108">
        <f t="shared" si="79"/>
        <v>0.58492944444444439</v>
      </c>
      <c r="Q294" s="108">
        <f t="shared" si="79"/>
        <v>0.2912142857142857</v>
      </c>
      <c r="R294" s="128">
        <f t="shared" si="79"/>
        <v>0.128</v>
      </c>
      <c r="S294" s="108">
        <f t="shared" si="79"/>
        <v>0.60514666666666672</v>
      </c>
      <c r="T294" s="128">
        <f t="shared" si="79"/>
        <v>0.68974074074074077</v>
      </c>
      <c r="U294" s="26"/>
      <c r="V294" s="27"/>
      <c r="W294" s="27"/>
      <c r="X294" s="27"/>
    </row>
    <row r="295" spans="1:24" s="1" customFormat="1" ht="11.25" customHeight="1">
      <c r="A295" s="208" t="s">
        <v>40</v>
      </c>
      <c r="B295" s="208"/>
      <c r="C295" s="208"/>
      <c r="D295" s="208"/>
      <c r="E295" s="208"/>
      <c r="F295" s="208"/>
      <c r="G295" s="208"/>
      <c r="H295" s="208"/>
      <c r="I295" s="208"/>
      <c r="J295" s="208"/>
      <c r="K295" s="208"/>
      <c r="L295" s="208"/>
      <c r="M295" s="208"/>
      <c r="N295" s="208"/>
      <c r="O295" s="208"/>
      <c r="P295" s="208"/>
      <c r="Q295" s="208"/>
      <c r="R295" s="208"/>
      <c r="S295" s="208"/>
      <c r="T295" s="208"/>
      <c r="U295" s="8"/>
      <c r="V295" s="20"/>
      <c r="W295" s="20"/>
      <c r="X295" s="20"/>
    </row>
    <row r="296" spans="1:24" s="1" customFormat="1" ht="11.25" customHeight="1">
      <c r="A296" s="87" t="s">
        <v>47</v>
      </c>
      <c r="B296" s="88"/>
      <c r="C296" s="88"/>
      <c r="D296" s="82"/>
      <c r="E296" s="82"/>
      <c r="F296" s="85"/>
      <c r="G296" s="189" t="s">
        <v>35</v>
      </c>
      <c r="H296" s="189"/>
      <c r="I296" s="189"/>
      <c r="J296" s="84"/>
      <c r="K296" s="84"/>
      <c r="L296" s="207" t="s">
        <v>1</v>
      </c>
      <c r="M296" s="207"/>
      <c r="N296" s="188" t="str">
        <f>N265</f>
        <v>осенне-зимний</v>
      </c>
      <c r="O296" s="188"/>
      <c r="P296" s="188"/>
      <c r="Q296" s="188"/>
      <c r="R296" s="84"/>
      <c r="S296" s="84"/>
      <c r="T296" s="84"/>
      <c r="U296" s="9"/>
      <c r="V296" s="15"/>
      <c r="W296" s="15"/>
      <c r="X296" s="15"/>
    </row>
    <row r="297" spans="1:24" s="1" customFormat="1" ht="11.25" customHeight="1">
      <c r="A297" s="88"/>
      <c r="B297" s="88"/>
      <c r="C297" s="88"/>
      <c r="D297" s="207" t="s">
        <v>2</v>
      </c>
      <c r="E297" s="207"/>
      <c r="F297" s="207"/>
      <c r="G297" s="89">
        <v>2</v>
      </c>
      <c r="H297" s="84"/>
      <c r="I297" s="82"/>
      <c r="J297" s="82"/>
      <c r="K297" s="82"/>
      <c r="L297" s="207" t="s">
        <v>3</v>
      </c>
      <c r="M297" s="207"/>
      <c r="N297" s="189" t="str">
        <f>N266</f>
        <v>с 7-11 лет</v>
      </c>
      <c r="O297" s="189"/>
      <c r="P297" s="189"/>
      <c r="Q297" s="189"/>
      <c r="R297" s="189"/>
      <c r="S297" s="189"/>
      <c r="T297" s="189"/>
      <c r="U297" s="10"/>
      <c r="V297" s="16"/>
      <c r="W297" s="16"/>
      <c r="X297" s="16"/>
    </row>
    <row r="298" spans="1:24" s="1" customFormat="1" ht="21.75" customHeight="1">
      <c r="A298" s="199" t="s">
        <v>4</v>
      </c>
      <c r="B298" s="199" t="s">
        <v>5</v>
      </c>
      <c r="C298" s="199"/>
      <c r="D298" s="199" t="s">
        <v>6</v>
      </c>
      <c r="E298" s="90"/>
      <c r="F298" s="202" t="s">
        <v>7</v>
      </c>
      <c r="G298" s="203"/>
      <c r="H298" s="204"/>
      <c r="I298" s="199" t="s">
        <v>8</v>
      </c>
      <c r="J298" s="205" t="s">
        <v>9</v>
      </c>
      <c r="K298" s="205"/>
      <c r="L298" s="205"/>
      <c r="M298" s="205"/>
      <c r="N298" s="205"/>
      <c r="O298" s="205" t="s">
        <v>10</v>
      </c>
      <c r="P298" s="205"/>
      <c r="Q298" s="205"/>
      <c r="R298" s="205"/>
      <c r="S298" s="205"/>
      <c r="T298" s="205"/>
      <c r="U298" s="4"/>
      <c r="V298" s="17"/>
      <c r="W298" s="17"/>
      <c r="X298" s="17"/>
    </row>
    <row r="299" spans="1:24" s="1" customFormat="1" ht="21" customHeight="1">
      <c r="A299" s="200"/>
      <c r="B299" s="197"/>
      <c r="C299" s="198"/>
      <c r="D299" s="200"/>
      <c r="E299" s="91"/>
      <c r="F299" s="92" t="s">
        <v>11</v>
      </c>
      <c r="G299" s="93" t="s">
        <v>12</v>
      </c>
      <c r="H299" s="93" t="s">
        <v>13</v>
      </c>
      <c r="I299" s="200"/>
      <c r="J299" s="93" t="s">
        <v>14</v>
      </c>
      <c r="K299" s="93" t="s">
        <v>49</v>
      </c>
      <c r="L299" s="93" t="s">
        <v>15</v>
      </c>
      <c r="M299" s="93" t="s">
        <v>16</v>
      </c>
      <c r="N299" s="93" t="s">
        <v>17</v>
      </c>
      <c r="O299" s="93" t="s">
        <v>18</v>
      </c>
      <c r="P299" s="93" t="s">
        <v>19</v>
      </c>
      <c r="Q299" s="93" t="s">
        <v>50</v>
      </c>
      <c r="R299" s="93" t="s">
        <v>51</v>
      </c>
      <c r="S299" s="93" t="s">
        <v>20</v>
      </c>
      <c r="T299" s="93" t="s">
        <v>21</v>
      </c>
      <c r="U299" s="4"/>
      <c r="V299" s="17"/>
      <c r="W299" s="17"/>
      <c r="X299" s="17"/>
    </row>
    <row r="300" spans="1:24" s="1" customFormat="1" ht="11.25" customHeight="1">
      <c r="A300" s="71">
        <v>1</v>
      </c>
      <c r="B300" s="234">
        <v>2</v>
      </c>
      <c r="C300" s="234"/>
      <c r="D300" s="94">
        <v>3</v>
      </c>
      <c r="E300" s="94"/>
      <c r="F300" s="94">
        <v>4</v>
      </c>
      <c r="G300" s="94">
        <v>5</v>
      </c>
      <c r="H300" s="94">
        <v>6</v>
      </c>
      <c r="I300" s="94">
        <v>7</v>
      </c>
      <c r="J300" s="94">
        <v>8</v>
      </c>
      <c r="K300" s="94">
        <v>9</v>
      </c>
      <c r="L300" s="94">
        <v>10</v>
      </c>
      <c r="M300" s="94">
        <v>11</v>
      </c>
      <c r="N300" s="94">
        <v>12</v>
      </c>
      <c r="O300" s="94">
        <v>13</v>
      </c>
      <c r="P300" s="94">
        <v>14</v>
      </c>
      <c r="Q300" s="94">
        <v>15</v>
      </c>
      <c r="R300" s="94">
        <v>16</v>
      </c>
      <c r="S300" s="94">
        <v>17</v>
      </c>
      <c r="T300" s="94">
        <v>18</v>
      </c>
      <c r="U300" s="5"/>
      <c r="V300" s="18"/>
      <c r="W300" s="18"/>
      <c r="X300" s="18"/>
    </row>
    <row r="301" spans="1:24" s="1" customFormat="1" ht="11.25" customHeight="1">
      <c r="A301" s="192" t="s">
        <v>75</v>
      </c>
      <c r="B301" s="193"/>
      <c r="C301" s="193"/>
      <c r="D301" s="193"/>
      <c r="E301" s="193"/>
      <c r="F301" s="193"/>
      <c r="G301" s="193"/>
      <c r="H301" s="193"/>
      <c r="I301" s="193"/>
      <c r="J301" s="193"/>
      <c r="K301" s="193"/>
      <c r="L301" s="193"/>
      <c r="M301" s="193"/>
      <c r="N301" s="193"/>
      <c r="O301" s="193"/>
      <c r="P301" s="193"/>
      <c r="Q301" s="193"/>
      <c r="R301" s="193"/>
      <c r="S301" s="193"/>
      <c r="T301" s="194"/>
      <c r="U301" s="6"/>
      <c r="V301" s="19"/>
      <c r="W301" s="19"/>
      <c r="X301" s="19"/>
    </row>
    <row r="302" spans="1:24" s="68" customFormat="1" ht="25.5" customHeight="1">
      <c r="A302" s="164" t="s">
        <v>57</v>
      </c>
      <c r="B302" s="218" t="s">
        <v>84</v>
      </c>
      <c r="C302" s="219"/>
      <c r="D302" s="165">
        <v>165</v>
      </c>
      <c r="E302" s="166">
        <v>47.65</v>
      </c>
      <c r="F302" s="166">
        <v>3.6</v>
      </c>
      <c r="G302" s="166">
        <v>6</v>
      </c>
      <c r="H302" s="166">
        <v>54</v>
      </c>
      <c r="I302" s="166">
        <v>288</v>
      </c>
      <c r="J302" s="167">
        <v>7.0000000000000007E-2</v>
      </c>
      <c r="K302" s="167">
        <v>0.16</v>
      </c>
      <c r="L302" s="166">
        <v>0.19</v>
      </c>
      <c r="M302" s="166">
        <v>0.02</v>
      </c>
      <c r="N302" s="171">
        <v>1.1639999999999999</v>
      </c>
      <c r="O302" s="166">
        <v>0.19</v>
      </c>
      <c r="P302" s="166">
        <v>149.1</v>
      </c>
      <c r="Q302" s="166">
        <v>0.81</v>
      </c>
      <c r="R302" s="166">
        <v>0.02</v>
      </c>
      <c r="S302" s="166">
        <v>12.93</v>
      </c>
      <c r="T302" s="166">
        <v>0.91</v>
      </c>
      <c r="U302" s="66"/>
      <c r="V302" s="67"/>
      <c r="W302" s="67"/>
      <c r="X302" s="67"/>
    </row>
    <row r="303" spans="1:24" s="68" customFormat="1" ht="12.75" customHeight="1">
      <c r="A303" s="164">
        <v>377</v>
      </c>
      <c r="B303" s="224" t="s">
        <v>41</v>
      </c>
      <c r="C303" s="225"/>
      <c r="D303" s="165">
        <v>200</v>
      </c>
      <c r="E303" s="166">
        <v>4.53</v>
      </c>
      <c r="F303" s="166">
        <v>0.26</v>
      </c>
      <c r="G303" s="166">
        <v>0.06</v>
      </c>
      <c r="H303" s="166">
        <v>15.22</v>
      </c>
      <c r="I303" s="166">
        <f>F303*4+G303*9+H303*4</f>
        <v>62.46</v>
      </c>
      <c r="J303" s="166">
        <v>0</v>
      </c>
      <c r="K303" s="166">
        <v>0.01</v>
      </c>
      <c r="L303" s="166">
        <v>2.9</v>
      </c>
      <c r="M303" s="166">
        <v>0</v>
      </c>
      <c r="N303" s="166">
        <v>0.06</v>
      </c>
      <c r="O303" s="166">
        <v>8.0500000000000007</v>
      </c>
      <c r="P303" s="166">
        <v>9.7799999999999994</v>
      </c>
      <c r="Q303" s="166">
        <v>1.7000000000000001E-2</v>
      </c>
      <c r="R303" s="167">
        <v>0</v>
      </c>
      <c r="S303" s="166">
        <v>5.24</v>
      </c>
      <c r="T303" s="166">
        <v>0.87</v>
      </c>
      <c r="U303" s="66"/>
      <c r="V303" s="182"/>
      <c r="W303" s="182"/>
      <c r="X303" s="182"/>
    </row>
    <row r="304" spans="1:24" s="70" customFormat="1" ht="11.25" customHeight="1">
      <c r="A304" s="172">
        <v>338</v>
      </c>
      <c r="B304" s="228" t="s">
        <v>71</v>
      </c>
      <c r="C304" s="228"/>
      <c r="D304" s="165">
        <v>190</v>
      </c>
      <c r="E304" s="166">
        <v>26.12</v>
      </c>
      <c r="F304" s="166">
        <v>1.5</v>
      </c>
      <c r="G304" s="166">
        <v>0.5</v>
      </c>
      <c r="H304" s="166">
        <v>2.1</v>
      </c>
      <c r="I304" s="166">
        <v>125.6</v>
      </c>
      <c r="J304" s="166">
        <v>0.04</v>
      </c>
      <c r="K304" s="166">
        <v>0.02</v>
      </c>
      <c r="L304" s="165">
        <v>10</v>
      </c>
      <c r="M304" s="166">
        <v>0.02</v>
      </c>
      <c r="N304" s="166">
        <v>0.2</v>
      </c>
      <c r="O304" s="166">
        <v>16</v>
      </c>
      <c r="P304" s="166">
        <v>11</v>
      </c>
      <c r="Q304" s="165">
        <v>0.03</v>
      </c>
      <c r="R304" s="165">
        <v>2E-3</v>
      </c>
      <c r="S304" s="166">
        <v>9</v>
      </c>
      <c r="T304" s="166">
        <v>2.2000000000000002</v>
      </c>
      <c r="U304" s="69"/>
      <c r="V304" s="182"/>
      <c r="W304" s="182"/>
      <c r="X304" s="182"/>
    </row>
    <row r="305" spans="1:25" s="2" customFormat="1" ht="11.25" customHeight="1">
      <c r="A305" s="101" t="s">
        <v>76</v>
      </c>
      <c r="B305" s="102"/>
      <c r="C305" s="102"/>
      <c r="D305" s="103">
        <f t="shared" ref="D305:T305" si="80">SUM(D302:D304)</f>
        <v>555</v>
      </c>
      <c r="E305" s="104">
        <f t="shared" si="80"/>
        <v>78.3</v>
      </c>
      <c r="F305" s="113">
        <f t="shared" si="80"/>
        <v>5.36</v>
      </c>
      <c r="G305" s="113">
        <f t="shared" si="80"/>
        <v>6.56</v>
      </c>
      <c r="H305" s="115">
        <f t="shared" si="80"/>
        <v>71.319999999999993</v>
      </c>
      <c r="I305" s="114">
        <f t="shared" si="80"/>
        <v>476.05999999999995</v>
      </c>
      <c r="J305" s="113">
        <f t="shared" si="80"/>
        <v>0.11000000000000001</v>
      </c>
      <c r="K305" s="113">
        <f t="shared" si="80"/>
        <v>0.19</v>
      </c>
      <c r="L305" s="113">
        <f t="shared" si="80"/>
        <v>13.09</v>
      </c>
      <c r="M305" s="113">
        <f t="shared" si="80"/>
        <v>0.04</v>
      </c>
      <c r="N305" s="114">
        <f t="shared" si="80"/>
        <v>1.4239999999999999</v>
      </c>
      <c r="O305" s="114">
        <f t="shared" si="80"/>
        <v>24.240000000000002</v>
      </c>
      <c r="P305" s="114">
        <f t="shared" si="80"/>
        <v>169.88</v>
      </c>
      <c r="Q305" s="114">
        <f t="shared" si="80"/>
        <v>0.8570000000000001</v>
      </c>
      <c r="R305" s="113">
        <f t="shared" si="80"/>
        <v>2.1999999999999999E-2</v>
      </c>
      <c r="S305" s="114">
        <f t="shared" si="80"/>
        <v>27.17</v>
      </c>
      <c r="T305" s="113">
        <f t="shared" si="80"/>
        <v>3.9800000000000004</v>
      </c>
      <c r="U305" s="23"/>
      <c r="V305" s="24"/>
      <c r="W305" s="24"/>
      <c r="X305" s="24"/>
    </row>
    <row r="306" spans="1:25" s="2" customFormat="1" ht="11.25" customHeight="1">
      <c r="A306" s="185" t="s">
        <v>54</v>
      </c>
      <c r="B306" s="186"/>
      <c r="C306" s="186"/>
      <c r="D306" s="187"/>
      <c r="E306" s="162"/>
      <c r="F306" s="106">
        <f t="shared" ref="F306:T306" si="81">F305/F323</f>
        <v>5.9555555555555556E-2</v>
      </c>
      <c r="G306" s="108">
        <f t="shared" si="81"/>
        <v>7.1304347826086953E-2</v>
      </c>
      <c r="H306" s="108">
        <f t="shared" si="81"/>
        <v>0.18621409921671017</v>
      </c>
      <c r="I306" s="108">
        <f t="shared" si="81"/>
        <v>0.17502205882352939</v>
      </c>
      <c r="J306" s="108">
        <f t="shared" si="81"/>
        <v>7.8571428571428584E-2</v>
      </c>
      <c r="K306" s="108">
        <f t="shared" si="81"/>
        <v>0.11874999999999999</v>
      </c>
      <c r="L306" s="108">
        <f t="shared" si="81"/>
        <v>0.187</v>
      </c>
      <c r="M306" s="108">
        <f t="shared" si="81"/>
        <v>4.4444444444444446E-2</v>
      </c>
      <c r="N306" s="108">
        <f t="shared" si="81"/>
        <v>0.11866666666666666</v>
      </c>
      <c r="O306" s="108">
        <f t="shared" si="81"/>
        <v>2.0200000000000003E-2</v>
      </c>
      <c r="P306" s="108">
        <f t="shared" si="81"/>
        <v>0.14156666666666667</v>
      </c>
      <c r="Q306" s="108">
        <f t="shared" si="81"/>
        <v>6.1214285714285721E-2</v>
      </c>
      <c r="R306" s="108">
        <f t="shared" si="81"/>
        <v>0.21999999999999997</v>
      </c>
      <c r="S306" s="108">
        <f t="shared" si="81"/>
        <v>9.056666666666667E-2</v>
      </c>
      <c r="T306" s="108">
        <f t="shared" si="81"/>
        <v>0.22111111111111115</v>
      </c>
      <c r="U306" s="28"/>
      <c r="V306" s="24"/>
      <c r="W306" s="24"/>
      <c r="X306" s="24"/>
    </row>
    <row r="307" spans="1:25" s="2" customFormat="1" ht="11.25" customHeight="1">
      <c r="A307" s="192" t="s">
        <v>24</v>
      </c>
      <c r="B307" s="193"/>
      <c r="C307" s="193"/>
      <c r="D307" s="193"/>
      <c r="E307" s="193"/>
      <c r="F307" s="193"/>
      <c r="G307" s="193"/>
      <c r="H307" s="193"/>
      <c r="I307" s="193"/>
      <c r="J307" s="193"/>
      <c r="K307" s="193"/>
      <c r="L307" s="193"/>
      <c r="M307" s="193"/>
      <c r="N307" s="193"/>
      <c r="O307" s="193"/>
      <c r="P307" s="193"/>
      <c r="Q307" s="193"/>
      <c r="R307" s="193"/>
      <c r="S307" s="193"/>
      <c r="T307" s="194"/>
      <c r="U307" s="6"/>
      <c r="V307" s="19"/>
      <c r="W307" s="19"/>
      <c r="X307" s="19"/>
    </row>
    <row r="308" spans="1:25" s="64" customFormat="1" ht="21.75" customHeight="1">
      <c r="A308" s="71">
        <v>67</v>
      </c>
      <c r="B308" s="190" t="s">
        <v>112</v>
      </c>
      <c r="C308" s="191"/>
      <c r="D308" s="72">
        <v>100</v>
      </c>
      <c r="E308" s="73">
        <v>11.54</v>
      </c>
      <c r="F308" s="73">
        <v>2.5</v>
      </c>
      <c r="G308" s="73">
        <v>5.78</v>
      </c>
      <c r="H308" s="73">
        <v>11.28</v>
      </c>
      <c r="I308" s="73">
        <v>107.18</v>
      </c>
      <c r="J308" s="73">
        <v>6.7000000000000004E-2</v>
      </c>
      <c r="K308" s="73">
        <v>0.05</v>
      </c>
      <c r="L308" s="73">
        <v>14.33</v>
      </c>
      <c r="M308" s="74">
        <v>1.23</v>
      </c>
      <c r="N308" s="73">
        <v>0.33</v>
      </c>
      <c r="O308" s="73">
        <v>38.979999999999997</v>
      </c>
      <c r="P308" s="73">
        <v>56.73</v>
      </c>
      <c r="Q308" s="73">
        <v>1.7000000000000001E-2</v>
      </c>
      <c r="R308" s="74">
        <v>6.7000000000000004E-2</v>
      </c>
      <c r="S308" s="73">
        <v>26.016999999999999</v>
      </c>
      <c r="T308" s="73">
        <v>1.167</v>
      </c>
      <c r="U308" s="58"/>
      <c r="V308" s="59"/>
      <c r="W308" s="59"/>
      <c r="X308" s="59"/>
      <c r="Y308" s="57"/>
    </row>
    <row r="309" spans="1:25" s="57" customFormat="1" ht="15" customHeight="1">
      <c r="A309" s="71">
        <v>87</v>
      </c>
      <c r="B309" s="190" t="s">
        <v>95</v>
      </c>
      <c r="C309" s="191"/>
      <c r="D309" s="75">
        <v>250</v>
      </c>
      <c r="E309" s="73">
        <v>15.15</v>
      </c>
      <c r="F309" s="73">
        <v>8.61</v>
      </c>
      <c r="G309" s="73">
        <v>8.4</v>
      </c>
      <c r="H309" s="73">
        <v>14.34</v>
      </c>
      <c r="I309" s="73">
        <v>167.25</v>
      </c>
      <c r="J309" s="73">
        <v>0.1</v>
      </c>
      <c r="K309" s="73">
        <v>0</v>
      </c>
      <c r="L309" s="73">
        <v>9.11</v>
      </c>
      <c r="M309" s="74">
        <v>15</v>
      </c>
      <c r="N309" s="73">
        <v>0</v>
      </c>
      <c r="O309" s="73">
        <v>45.3</v>
      </c>
      <c r="P309" s="73">
        <v>176.53</v>
      </c>
      <c r="Q309" s="73">
        <v>0</v>
      </c>
      <c r="R309" s="74">
        <v>0</v>
      </c>
      <c r="S309" s="73">
        <v>47.35</v>
      </c>
      <c r="T309" s="73">
        <v>0</v>
      </c>
      <c r="U309" s="58"/>
      <c r="V309" s="59"/>
      <c r="W309" s="59"/>
      <c r="X309" s="59"/>
    </row>
    <row r="310" spans="1:25" s="57" customFormat="1" ht="12.75" customHeight="1">
      <c r="A310" s="71">
        <v>259</v>
      </c>
      <c r="B310" s="190" t="s">
        <v>45</v>
      </c>
      <c r="C310" s="191"/>
      <c r="D310" s="72">
        <v>220</v>
      </c>
      <c r="E310" s="73">
        <v>55.86</v>
      </c>
      <c r="F310" s="73">
        <v>15.69</v>
      </c>
      <c r="G310" s="73">
        <v>16.510000000000002</v>
      </c>
      <c r="H310" s="73">
        <v>28.06</v>
      </c>
      <c r="I310" s="73">
        <v>323.63</v>
      </c>
      <c r="J310" s="73">
        <v>0.24</v>
      </c>
      <c r="K310" s="73">
        <v>0.22</v>
      </c>
      <c r="L310" s="73">
        <v>34.43</v>
      </c>
      <c r="M310" s="74">
        <v>0.06</v>
      </c>
      <c r="N310" s="75">
        <v>0.38</v>
      </c>
      <c r="O310" s="73">
        <v>46.42</v>
      </c>
      <c r="P310" s="112">
        <v>239.99</v>
      </c>
      <c r="Q310" s="112">
        <v>3.85</v>
      </c>
      <c r="R310" s="74">
        <v>2E-3</v>
      </c>
      <c r="S310" s="73">
        <v>61.45</v>
      </c>
      <c r="T310" s="73">
        <v>3.65</v>
      </c>
      <c r="U310" s="58"/>
      <c r="V310" s="59"/>
      <c r="W310" s="59"/>
      <c r="X310" s="59"/>
    </row>
    <row r="311" spans="1:25" s="65" customFormat="1">
      <c r="A311" s="133">
        <v>699</v>
      </c>
      <c r="B311" s="230" t="s">
        <v>74</v>
      </c>
      <c r="C311" s="231"/>
      <c r="D311" s="134">
        <v>200</v>
      </c>
      <c r="E311" s="135">
        <v>6.4</v>
      </c>
      <c r="F311" s="135">
        <v>0.1</v>
      </c>
      <c r="G311" s="136">
        <v>0</v>
      </c>
      <c r="H311" s="137">
        <v>15.7</v>
      </c>
      <c r="I311" s="135">
        <v>63.2</v>
      </c>
      <c r="J311" s="136">
        <v>1.7999999999999999E-2</v>
      </c>
      <c r="K311" s="136">
        <v>1.2E-2</v>
      </c>
      <c r="L311" s="137">
        <v>8</v>
      </c>
      <c r="M311" s="136">
        <v>0</v>
      </c>
      <c r="N311" s="135">
        <v>0.2</v>
      </c>
      <c r="O311" s="135">
        <v>10.8</v>
      </c>
      <c r="P311" s="135">
        <v>1.7</v>
      </c>
      <c r="Q311" s="135">
        <v>0</v>
      </c>
      <c r="R311" s="138">
        <v>0</v>
      </c>
      <c r="S311" s="135">
        <v>5.8</v>
      </c>
      <c r="T311" s="135">
        <v>1.6</v>
      </c>
    </row>
    <row r="312" spans="1:25" s="57" customFormat="1" ht="11.25" customHeight="1">
      <c r="A312" s="111" t="s">
        <v>57</v>
      </c>
      <c r="B312" s="190" t="s">
        <v>42</v>
      </c>
      <c r="C312" s="191"/>
      <c r="D312" s="72">
        <v>40</v>
      </c>
      <c r="E312" s="73">
        <v>2.56</v>
      </c>
      <c r="F312" s="73">
        <f>2.64*D312/40</f>
        <v>2.64</v>
      </c>
      <c r="G312" s="73">
        <f>0.48*D312/40</f>
        <v>0.48</v>
      </c>
      <c r="H312" s="73">
        <f>13.68*D312/40</f>
        <v>13.680000000000001</v>
      </c>
      <c r="I312" s="112">
        <f>F312*4+G312*9+H312*4</f>
        <v>69.600000000000009</v>
      </c>
      <c r="J312" s="75">
        <f>0.08*D312/40</f>
        <v>0.08</v>
      </c>
      <c r="K312" s="73">
        <f>0.04*D312/40</f>
        <v>0.04</v>
      </c>
      <c r="L312" s="72">
        <v>0</v>
      </c>
      <c r="M312" s="72">
        <v>0</v>
      </c>
      <c r="N312" s="73">
        <f>2.4*D312/40</f>
        <v>2.4</v>
      </c>
      <c r="O312" s="73">
        <f>14*D312/40</f>
        <v>14</v>
      </c>
      <c r="P312" s="73">
        <f>63.2*D312/40</f>
        <v>63.2</v>
      </c>
      <c r="Q312" s="73">
        <f>1.2*D312/40</f>
        <v>1.2</v>
      </c>
      <c r="R312" s="74">
        <f>0.001*D312/40</f>
        <v>1E-3</v>
      </c>
      <c r="S312" s="73">
        <f>9.4*D312/40</f>
        <v>9.4</v>
      </c>
      <c r="T312" s="75">
        <f>0.78*D312/40</f>
        <v>0.78</v>
      </c>
      <c r="U312" s="60"/>
      <c r="V312" s="61"/>
      <c r="W312" s="61"/>
      <c r="X312" s="61"/>
    </row>
    <row r="313" spans="1:25" s="2" customFormat="1" ht="11.25" customHeight="1">
      <c r="A313" s="133" t="s">
        <v>57</v>
      </c>
      <c r="B313" s="226" t="s">
        <v>87</v>
      </c>
      <c r="C313" s="227"/>
      <c r="D313" s="133">
        <v>15</v>
      </c>
      <c r="E313" s="173">
        <v>3.64</v>
      </c>
      <c r="F313" s="173">
        <v>1.7</v>
      </c>
      <c r="G313" s="174">
        <v>2.2599999999999998</v>
      </c>
      <c r="H313" s="175">
        <v>13.8</v>
      </c>
      <c r="I313" s="173">
        <v>82.34</v>
      </c>
      <c r="J313" s="173">
        <v>2.5999999999999999E-2</v>
      </c>
      <c r="K313" s="173">
        <v>0.03</v>
      </c>
      <c r="L313" s="173">
        <v>0.13</v>
      </c>
      <c r="M313" s="173">
        <v>11.96</v>
      </c>
      <c r="N313" s="174">
        <v>0.39</v>
      </c>
      <c r="O313" s="173">
        <v>24.18</v>
      </c>
      <c r="P313" s="173">
        <v>49.4</v>
      </c>
      <c r="Q313" s="176">
        <v>0.2</v>
      </c>
      <c r="R313" s="173">
        <v>2E-3</v>
      </c>
      <c r="S313" s="173">
        <v>18.72</v>
      </c>
      <c r="T313" s="173">
        <v>0.182</v>
      </c>
      <c r="U313"/>
      <c r="V313" s="54"/>
      <c r="W313" s="54"/>
      <c r="X313" s="54"/>
    </row>
    <row r="314" spans="1:25" s="57" customFormat="1" ht="11.25" customHeight="1">
      <c r="A314" s="100" t="s">
        <v>57</v>
      </c>
      <c r="B314" s="190" t="s">
        <v>46</v>
      </c>
      <c r="C314" s="191"/>
      <c r="D314" s="72">
        <v>30</v>
      </c>
      <c r="E314" s="73">
        <v>2.85</v>
      </c>
      <c r="F314" s="73">
        <f>1.52*D314/30</f>
        <v>1.52</v>
      </c>
      <c r="G314" s="74">
        <f>0.16*D314/30</f>
        <v>0.16</v>
      </c>
      <c r="H314" s="74">
        <f>9.84*D314/30</f>
        <v>9.84</v>
      </c>
      <c r="I314" s="74">
        <f>F314*4+G314*9+H314*4</f>
        <v>46.879999999999995</v>
      </c>
      <c r="J314" s="74">
        <f>0.02*D314/30</f>
        <v>0.02</v>
      </c>
      <c r="K314" s="74">
        <f>0.01*D314/30</f>
        <v>0.01</v>
      </c>
      <c r="L314" s="74">
        <f>0.44*D314/30</f>
        <v>0.44</v>
      </c>
      <c r="M314" s="74">
        <v>0</v>
      </c>
      <c r="N314" s="74">
        <f>0.7*D314/30</f>
        <v>0.7</v>
      </c>
      <c r="O314" s="74">
        <f>4*D314/30</f>
        <v>4</v>
      </c>
      <c r="P314" s="74">
        <f>13*D314/30</f>
        <v>13</v>
      </c>
      <c r="Q314" s="74">
        <f>0.008*D314/30</f>
        <v>8.0000000000000002E-3</v>
      </c>
      <c r="R314" s="74">
        <f>0.001*D314/30</f>
        <v>1E-3</v>
      </c>
      <c r="S314" s="74">
        <v>0</v>
      </c>
      <c r="T314" s="74">
        <f>0.22*D314/30</f>
        <v>0.22</v>
      </c>
      <c r="U314" s="58"/>
      <c r="V314" s="59"/>
      <c r="W314" s="59"/>
      <c r="X314" s="59"/>
    </row>
    <row r="315" spans="1:25" s="2" customFormat="1" ht="11.25" customHeight="1">
      <c r="A315" s="101" t="s">
        <v>25</v>
      </c>
      <c r="B315" s="102"/>
      <c r="C315" s="102"/>
      <c r="D315" s="103">
        <f t="shared" ref="D315:I315" si="82">SUM(D308:D314)</f>
        <v>855</v>
      </c>
      <c r="E315" s="104">
        <f t="shared" si="82"/>
        <v>98</v>
      </c>
      <c r="F315" s="113">
        <f t="shared" si="82"/>
        <v>32.76</v>
      </c>
      <c r="G315" s="114">
        <f t="shared" si="82"/>
        <v>33.589999999999996</v>
      </c>
      <c r="H315" s="114">
        <f t="shared" si="82"/>
        <v>106.7</v>
      </c>
      <c r="I315" s="114">
        <f t="shared" si="82"/>
        <v>860.08</v>
      </c>
      <c r="J315" s="114">
        <f t="shared" ref="J315:T315" si="83">SUM(J308:J314)</f>
        <v>0.55100000000000005</v>
      </c>
      <c r="K315" s="113">
        <f t="shared" si="83"/>
        <v>0.36199999999999999</v>
      </c>
      <c r="L315" s="114">
        <f t="shared" si="83"/>
        <v>66.44</v>
      </c>
      <c r="M315" s="114">
        <f t="shared" si="83"/>
        <v>28.25</v>
      </c>
      <c r="N315" s="113">
        <f t="shared" si="83"/>
        <v>4.3999999999999995</v>
      </c>
      <c r="O315" s="114">
        <f t="shared" si="83"/>
        <v>183.68</v>
      </c>
      <c r="P315" s="114">
        <f t="shared" si="83"/>
        <v>600.54999999999995</v>
      </c>
      <c r="Q315" s="114">
        <f t="shared" si="83"/>
        <v>5.2750000000000004</v>
      </c>
      <c r="R315" s="116">
        <f t="shared" si="83"/>
        <v>7.3000000000000009E-2</v>
      </c>
      <c r="S315" s="114">
        <f t="shared" si="83"/>
        <v>168.73700000000002</v>
      </c>
      <c r="T315" s="113">
        <f t="shared" si="83"/>
        <v>7.5990000000000002</v>
      </c>
      <c r="U315" s="23"/>
      <c r="V315" s="24"/>
      <c r="W315" s="24"/>
      <c r="X315" s="24"/>
    </row>
    <row r="316" spans="1:25" s="2" customFormat="1" ht="11.25" customHeight="1">
      <c r="A316" s="185" t="s">
        <v>54</v>
      </c>
      <c r="B316" s="186"/>
      <c r="C316" s="186"/>
      <c r="D316" s="187"/>
      <c r="E316" s="132">
        <f>98-E315</f>
        <v>0</v>
      </c>
      <c r="F316" s="107">
        <f t="shared" ref="F316:T316" si="84">F315/F323</f>
        <v>0.36399999999999999</v>
      </c>
      <c r="G316" s="108">
        <f t="shared" si="84"/>
        <v>0.36510869565217385</v>
      </c>
      <c r="H316" s="108">
        <f t="shared" si="84"/>
        <v>0.27859007832898175</v>
      </c>
      <c r="I316" s="108">
        <f t="shared" si="84"/>
        <v>0.31620588235294117</v>
      </c>
      <c r="J316" s="108">
        <f t="shared" si="84"/>
        <v>0.39357142857142863</v>
      </c>
      <c r="K316" s="108">
        <f t="shared" si="84"/>
        <v>0.22624999999999998</v>
      </c>
      <c r="L316" s="108">
        <f t="shared" si="84"/>
        <v>0.94914285714285707</v>
      </c>
      <c r="M316" s="108">
        <f t="shared" si="84"/>
        <v>31.388888888888889</v>
      </c>
      <c r="N316" s="108">
        <f t="shared" si="84"/>
        <v>0.36666666666666664</v>
      </c>
      <c r="O316" s="108">
        <f t="shared" si="84"/>
        <v>0.15306666666666668</v>
      </c>
      <c r="P316" s="108">
        <f t="shared" si="84"/>
        <v>0.50045833333333334</v>
      </c>
      <c r="Q316" s="108">
        <f t="shared" si="84"/>
        <v>0.37678571428571433</v>
      </c>
      <c r="R316" s="108">
        <f t="shared" si="84"/>
        <v>0.73000000000000009</v>
      </c>
      <c r="S316" s="108">
        <f t="shared" si="84"/>
        <v>0.56245666666666672</v>
      </c>
      <c r="T316" s="108">
        <f t="shared" si="84"/>
        <v>0.42216666666666669</v>
      </c>
      <c r="U316" s="28"/>
      <c r="V316" s="24"/>
      <c r="W316" s="24"/>
      <c r="X316" s="24"/>
    </row>
    <row r="317" spans="1:25" s="2" customFormat="1" ht="11.25" customHeight="1">
      <c r="A317" s="192" t="s">
        <v>26</v>
      </c>
      <c r="B317" s="193"/>
      <c r="C317" s="193"/>
      <c r="D317" s="193"/>
      <c r="E317" s="193"/>
      <c r="F317" s="193"/>
      <c r="G317" s="193"/>
      <c r="H317" s="193"/>
      <c r="I317" s="193"/>
      <c r="J317" s="193"/>
      <c r="K317" s="193"/>
      <c r="L317" s="193"/>
      <c r="M317" s="193"/>
      <c r="N317" s="193"/>
      <c r="O317" s="193"/>
      <c r="P317" s="193"/>
      <c r="Q317" s="193"/>
      <c r="R317" s="193"/>
      <c r="S317" s="193"/>
      <c r="T317" s="194"/>
      <c r="U317" s="6"/>
      <c r="V317" s="19"/>
      <c r="W317" s="19"/>
      <c r="X317" s="19"/>
    </row>
    <row r="318" spans="1:25" s="42" customFormat="1" ht="11.25" customHeight="1">
      <c r="A318" s="177"/>
      <c r="B318" s="201"/>
      <c r="C318" s="201"/>
      <c r="D318" s="121"/>
      <c r="E318" s="119"/>
      <c r="F318" s="119"/>
      <c r="G318" s="119"/>
      <c r="H318" s="119"/>
      <c r="I318" s="119"/>
      <c r="J318" s="119"/>
      <c r="K318" s="119"/>
      <c r="L318" s="118"/>
      <c r="M318" s="118"/>
      <c r="N318" s="119"/>
      <c r="O318" s="119"/>
      <c r="P318" s="119"/>
      <c r="Q318" s="118"/>
      <c r="R318" s="118"/>
      <c r="S318" s="119"/>
      <c r="T318" s="119"/>
    </row>
    <row r="319" spans="1:25" s="42" customFormat="1" ht="11.25" customHeight="1">
      <c r="A319" s="123"/>
      <c r="B319" s="223"/>
      <c r="C319" s="223"/>
      <c r="D319" s="109"/>
      <c r="E319" s="110"/>
      <c r="F319" s="110"/>
      <c r="G319" s="110"/>
      <c r="H319" s="110"/>
      <c r="I319" s="110"/>
      <c r="J319" s="110"/>
      <c r="K319" s="110"/>
      <c r="L319" s="110"/>
      <c r="M319" s="110"/>
      <c r="N319" s="110"/>
      <c r="O319" s="110"/>
      <c r="P319" s="110"/>
      <c r="Q319" s="110"/>
      <c r="R319" s="110"/>
      <c r="S319" s="110"/>
      <c r="T319" s="110"/>
    </row>
    <row r="320" spans="1:25" s="1" customFormat="1" ht="11.25" customHeight="1">
      <c r="A320" s="101" t="s">
        <v>27</v>
      </c>
      <c r="B320" s="102"/>
      <c r="C320" s="102"/>
      <c r="D320" s="103">
        <f t="shared" ref="D320:I320" si="85">SUM(D318:D319)</f>
        <v>0</v>
      </c>
      <c r="E320" s="103">
        <f t="shared" si="85"/>
        <v>0</v>
      </c>
      <c r="F320" s="113">
        <f t="shared" si="85"/>
        <v>0</v>
      </c>
      <c r="G320" s="114">
        <f t="shared" si="85"/>
        <v>0</v>
      </c>
      <c r="H320" s="114">
        <f t="shared" si="85"/>
        <v>0</v>
      </c>
      <c r="I320" s="114">
        <f t="shared" si="85"/>
        <v>0</v>
      </c>
      <c r="J320" s="114">
        <f t="shared" ref="J320:T320" si="86">SUM(J318:J319)</f>
        <v>0</v>
      </c>
      <c r="K320" s="114">
        <f t="shared" si="86"/>
        <v>0</v>
      </c>
      <c r="L320" s="114">
        <f t="shared" si="86"/>
        <v>0</v>
      </c>
      <c r="M320" s="113">
        <f t="shared" si="86"/>
        <v>0</v>
      </c>
      <c r="N320" s="113">
        <f t="shared" si="86"/>
        <v>0</v>
      </c>
      <c r="O320" s="114">
        <f t="shared" si="86"/>
        <v>0</v>
      </c>
      <c r="P320" s="114">
        <f t="shared" si="86"/>
        <v>0</v>
      </c>
      <c r="Q320" s="114">
        <f t="shared" si="86"/>
        <v>0</v>
      </c>
      <c r="R320" s="116">
        <f t="shared" si="86"/>
        <v>0</v>
      </c>
      <c r="S320" s="114">
        <f t="shared" si="86"/>
        <v>0</v>
      </c>
      <c r="T320" s="113">
        <f t="shared" si="86"/>
        <v>0</v>
      </c>
      <c r="U320" s="23"/>
      <c r="V320" s="24"/>
      <c r="W320" s="24"/>
      <c r="X320" s="24"/>
    </row>
    <row r="321" spans="1:24" s="1" customFormat="1" ht="11.25" customHeight="1">
      <c r="A321" s="185" t="s">
        <v>54</v>
      </c>
      <c r="B321" s="186"/>
      <c r="C321" s="186"/>
      <c r="D321" s="187"/>
      <c r="E321" s="124"/>
      <c r="F321" s="107">
        <f>F320/F323</f>
        <v>0</v>
      </c>
      <c r="G321" s="108">
        <f t="shared" ref="G321:T321" si="87">G320/G323</f>
        <v>0</v>
      </c>
      <c r="H321" s="108">
        <f t="shared" si="87"/>
        <v>0</v>
      </c>
      <c r="I321" s="108">
        <f t="shared" si="87"/>
        <v>0</v>
      </c>
      <c r="J321" s="108">
        <f t="shared" si="87"/>
        <v>0</v>
      </c>
      <c r="K321" s="108">
        <f t="shared" si="87"/>
        <v>0</v>
      </c>
      <c r="L321" s="108">
        <f t="shared" si="87"/>
        <v>0</v>
      </c>
      <c r="M321" s="108">
        <f t="shared" si="87"/>
        <v>0</v>
      </c>
      <c r="N321" s="108">
        <f t="shared" si="87"/>
        <v>0</v>
      </c>
      <c r="O321" s="108">
        <f t="shared" si="87"/>
        <v>0</v>
      </c>
      <c r="P321" s="108">
        <f t="shared" si="87"/>
        <v>0</v>
      </c>
      <c r="Q321" s="108">
        <f t="shared" si="87"/>
        <v>0</v>
      </c>
      <c r="R321" s="108">
        <f t="shared" si="87"/>
        <v>0</v>
      </c>
      <c r="S321" s="108">
        <f t="shared" si="87"/>
        <v>0</v>
      </c>
      <c r="T321" s="108">
        <f t="shared" si="87"/>
        <v>0</v>
      </c>
      <c r="U321" s="28"/>
      <c r="V321" s="24"/>
      <c r="W321" s="24"/>
      <c r="X321" s="24"/>
    </row>
    <row r="322" spans="1:24" s="1" customFormat="1" ht="11.25" customHeight="1">
      <c r="A322" s="101" t="s">
        <v>53</v>
      </c>
      <c r="B322" s="102"/>
      <c r="C322" s="102"/>
      <c r="D322" s="125">
        <f>D315+D305</f>
        <v>1410</v>
      </c>
      <c r="E322" s="126">
        <f>E315+E305</f>
        <v>176.3</v>
      </c>
      <c r="F322" s="113">
        <f t="shared" ref="F322:T322" si="88">SUM(F305,F315,F320)</f>
        <v>38.119999999999997</v>
      </c>
      <c r="G322" s="114">
        <f t="shared" si="88"/>
        <v>40.15</v>
      </c>
      <c r="H322" s="114">
        <f t="shared" si="88"/>
        <v>178.01999999999998</v>
      </c>
      <c r="I322" s="114">
        <f t="shared" si="88"/>
        <v>1336.1399999999999</v>
      </c>
      <c r="J322" s="113">
        <f t="shared" si="88"/>
        <v>0.66100000000000003</v>
      </c>
      <c r="K322" s="113">
        <f t="shared" si="88"/>
        <v>0.55200000000000005</v>
      </c>
      <c r="L322" s="114">
        <f t="shared" si="88"/>
        <v>79.53</v>
      </c>
      <c r="M322" s="113">
        <f t="shared" si="88"/>
        <v>28.29</v>
      </c>
      <c r="N322" s="113">
        <f t="shared" si="88"/>
        <v>5.8239999999999998</v>
      </c>
      <c r="O322" s="114">
        <f t="shared" si="88"/>
        <v>207.92000000000002</v>
      </c>
      <c r="P322" s="114">
        <f t="shared" si="88"/>
        <v>770.43</v>
      </c>
      <c r="Q322" s="113">
        <f t="shared" si="88"/>
        <v>6.1320000000000006</v>
      </c>
      <c r="R322" s="116">
        <f t="shared" si="88"/>
        <v>9.5000000000000001E-2</v>
      </c>
      <c r="S322" s="113">
        <f t="shared" si="88"/>
        <v>195.90700000000004</v>
      </c>
      <c r="T322" s="113">
        <f t="shared" si="88"/>
        <v>11.579000000000001</v>
      </c>
      <c r="U322" s="25"/>
      <c r="V322" s="24"/>
      <c r="W322" s="24"/>
      <c r="X322" s="24"/>
    </row>
    <row r="323" spans="1:24" s="1" customFormat="1" ht="11.25" customHeight="1">
      <c r="A323" s="220" t="s">
        <v>55</v>
      </c>
      <c r="B323" s="221"/>
      <c r="C323" s="221"/>
      <c r="D323" s="222"/>
      <c r="E323" s="127"/>
      <c r="F323" s="73">
        <v>90</v>
      </c>
      <c r="G323" s="112">
        <v>92</v>
      </c>
      <c r="H323" s="112">
        <v>383</v>
      </c>
      <c r="I323" s="112">
        <v>2720</v>
      </c>
      <c r="J323" s="73">
        <v>1.4</v>
      </c>
      <c r="K323" s="73">
        <v>1.6</v>
      </c>
      <c r="L323" s="72">
        <v>70</v>
      </c>
      <c r="M323" s="73">
        <v>0.9</v>
      </c>
      <c r="N323" s="72">
        <v>12</v>
      </c>
      <c r="O323" s="72">
        <v>1200</v>
      </c>
      <c r="P323" s="72">
        <v>1200</v>
      </c>
      <c r="Q323" s="72">
        <v>14</v>
      </c>
      <c r="R323" s="112">
        <v>0.1</v>
      </c>
      <c r="S323" s="72">
        <v>300</v>
      </c>
      <c r="T323" s="73">
        <v>18</v>
      </c>
      <c r="U323" s="34"/>
      <c r="V323" s="35"/>
      <c r="W323" s="35"/>
      <c r="X323" s="35"/>
    </row>
    <row r="324" spans="1:24" s="1" customFormat="1" ht="11.25" customHeight="1">
      <c r="A324" s="185" t="s">
        <v>54</v>
      </c>
      <c r="B324" s="186"/>
      <c r="C324" s="186"/>
      <c r="D324" s="187"/>
      <c r="E324" s="124"/>
      <c r="F324" s="107">
        <f t="shared" ref="F324:T324" si="89">F322/F323</f>
        <v>0.42355555555555552</v>
      </c>
      <c r="G324" s="108">
        <f t="shared" si="89"/>
        <v>0.43641304347826088</v>
      </c>
      <c r="H324" s="108">
        <f t="shared" si="89"/>
        <v>0.46480417754569187</v>
      </c>
      <c r="I324" s="108">
        <f t="shared" si="89"/>
        <v>0.49122794117647056</v>
      </c>
      <c r="J324" s="108">
        <f t="shared" si="89"/>
        <v>0.4721428571428572</v>
      </c>
      <c r="K324" s="108">
        <f t="shared" si="89"/>
        <v>0.34500000000000003</v>
      </c>
      <c r="L324" s="108">
        <f t="shared" si="89"/>
        <v>1.1361428571428571</v>
      </c>
      <c r="M324" s="128">
        <f t="shared" si="89"/>
        <v>31.43333333333333</v>
      </c>
      <c r="N324" s="108">
        <f t="shared" si="89"/>
        <v>0.48533333333333334</v>
      </c>
      <c r="O324" s="108">
        <f t="shared" si="89"/>
        <v>0.17326666666666668</v>
      </c>
      <c r="P324" s="108">
        <f t="shared" si="89"/>
        <v>0.64202499999999996</v>
      </c>
      <c r="Q324" s="108">
        <f t="shared" si="89"/>
        <v>0.43800000000000006</v>
      </c>
      <c r="R324" s="128">
        <f t="shared" si="89"/>
        <v>0.95</v>
      </c>
      <c r="S324" s="108">
        <f t="shared" si="89"/>
        <v>0.65302333333333351</v>
      </c>
      <c r="T324" s="128">
        <f t="shared" si="89"/>
        <v>0.64327777777777784</v>
      </c>
      <c r="U324" s="26"/>
      <c r="V324" s="27"/>
      <c r="W324" s="27"/>
      <c r="X324" s="27"/>
    </row>
    <row r="325" spans="1:24" s="1" customFormat="1" ht="11.25" customHeight="1">
      <c r="A325" s="88"/>
      <c r="B325" s="88"/>
      <c r="C325" s="129"/>
      <c r="D325" s="129"/>
      <c r="E325" s="129"/>
      <c r="F325" s="83"/>
      <c r="G325" s="84"/>
      <c r="H325" s="82"/>
      <c r="I325" s="82"/>
      <c r="J325" s="84"/>
      <c r="K325" s="84"/>
      <c r="L325" s="84"/>
      <c r="M325" s="229" t="s">
        <v>56</v>
      </c>
      <c r="N325" s="229"/>
      <c r="O325" s="229"/>
      <c r="P325" s="229"/>
      <c r="Q325" s="229"/>
      <c r="R325" s="229"/>
      <c r="S325" s="229"/>
      <c r="T325" s="229"/>
      <c r="U325" s="7"/>
      <c r="V325" s="14"/>
      <c r="W325" s="14"/>
      <c r="X325" s="14"/>
    </row>
    <row r="326" spans="1:24" s="1" customFormat="1" ht="11.25" customHeight="1">
      <c r="A326" s="88"/>
      <c r="B326" s="88"/>
      <c r="C326" s="129"/>
      <c r="D326" s="129"/>
      <c r="E326" s="129"/>
      <c r="F326" s="83"/>
      <c r="G326" s="84"/>
      <c r="H326" s="82"/>
      <c r="I326" s="82"/>
      <c r="J326" s="84"/>
      <c r="K326" s="84"/>
      <c r="L326" s="84"/>
      <c r="M326" s="86"/>
      <c r="N326" s="86"/>
      <c r="O326" s="86"/>
      <c r="P326" s="86"/>
      <c r="Q326" s="86"/>
      <c r="R326" s="86"/>
      <c r="S326" s="86"/>
      <c r="T326" s="86"/>
      <c r="U326" s="7"/>
      <c r="V326" s="14"/>
      <c r="W326" s="14"/>
      <c r="X326" s="14"/>
    </row>
    <row r="327" spans="1:24" ht="11.25" customHeight="1">
      <c r="A327" s="88"/>
      <c r="B327" s="88"/>
      <c r="C327" s="88"/>
      <c r="D327" s="84"/>
      <c r="E327" s="84"/>
      <c r="F327" s="85"/>
      <c r="G327" s="84"/>
      <c r="H327" s="84"/>
      <c r="I327" s="84"/>
      <c r="J327" s="84"/>
      <c r="K327" s="84"/>
      <c r="L327" s="84"/>
      <c r="M327" s="84"/>
      <c r="N327" s="84"/>
      <c r="O327" s="84"/>
      <c r="P327" s="84"/>
      <c r="Q327" s="84"/>
      <c r="R327" s="84"/>
      <c r="S327" s="84"/>
      <c r="T327" s="84"/>
      <c r="U327" s="9"/>
      <c r="V327" s="15"/>
      <c r="W327" s="15"/>
      <c r="X327" s="15"/>
    </row>
    <row r="328" spans="1:24" ht="29.25" customHeight="1">
      <c r="A328" s="250" t="s">
        <v>58</v>
      </c>
      <c r="B328" s="250"/>
      <c r="C328" s="250"/>
      <c r="D328" s="250"/>
      <c r="E328" s="250"/>
      <c r="F328" s="250"/>
      <c r="G328" s="250"/>
      <c r="H328" s="250"/>
      <c r="I328" s="250"/>
      <c r="J328" s="250"/>
      <c r="K328" s="250"/>
      <c r="L328" s="250"/>
      <c r="M328" s="250"/>
      <c r="N328" s="250"/>
      <c r="O328" s="250"/>
      <c r="P328" s="250"/>
      <c r="Q328" s="250"/>
      <c r="R328" s="250"/>
      <c r="S328" s="250"/>
      <c r="T328" s="250"/>
      <c r="U328" s="9"/>
      <c r="V328" s="15"/>
      <c r="W328" s="15"/>
      <c r="X328" s="15"/>
    </row>
    <row r="329" spans="1:24" ht="29.25" customHeight="1">
      <c r="A329" s="88"/>
      <c r="B329" s="88"/>
      <c r="C329" s="88"/>
      <c r="D329" s="84"/>
      <c r="E329" s="84"/>
      <c r="F329" s="85"/>
      <c r="G329" s="84"/>
      <c r="H329" s="178"/>
      <c r="I329" s="84"/>
      <c r="J329" s="84"/>
      <c r="K329" s="84"/>
      <c r="L329" s="84"/>
      <c r="M329" s="84"/>
      <c r="N329" s="84"/>
      <c r="O329" s="84"/>
      <c r="P329" s="84"/>
      <c r="Q329" s="84"/>
      <c r="R329" s="84"/>
      <c r="S329" s="84"/>
      <c r="T329" s="84"/>
      <c r="U329" s="12"/>
      <c r="V329" s="15"/>
      <c r="W329" s="15"/>
      <c r="X329" s="15"/>
    </row>
    <row r="330" spans="1:24" s="38" customFormat="1" ht="13.5" customHeight="1">
      <c r="A330" s="179"/>
      <c r="B330" s="179"/>
      <c r="C330" s="179"/>
      <c r="D330" s="179"/>
      <c r="E330" s="179"/>
      <c r="F330" s="180"/>
      <c r="G330" s="179"/>
      <c r="H330" s="179"/>
      <c r="I330" s="179"/>
      <c r="J330" s="179"/>
      <c r="K330" s="179"/>
      <c r="L330" s="179"/>
      <c r="M330" s="179"/>
      <c r="N330" s="179"/>
      <c r="O330" s="179"/>
      <c r="P330" s="179"/>
      <c r="Q330" s="179"/>
      <c r="R330" s="179"/>
      <c r="S330" s="179"/>
      <c r="T330" s="179"/>
      <c r="U330" s="39"/>
      <c r="V330" s="40"/>
      <c r="W330" s="37"/>
      <c r="X330" s="37"/>
    </row>
  </sheetData>
  <autoFilter ref="B1:B330"/>
  <mergeCells count="382">
    <mergeCell ref="Q1:T1"/>
    <mergeCell ref="B120:C120"/>
    <mergeCell ref="B46:C46"/>
    <mergeCell ref="B187:C187"/>
    <mergeCell ref="B13:C13"/>
    <mergeCell ref="B176:C176"/>
    <mergeCell ref="O136:T136"/>
    <mergeCell ref="D135:F135"/>
    <mergeCell ref="B183:C183"/>
    <mergeCell ref="A1:D3"/>
    <mergeCell ref="B171:C171"/>
    <mergeCell ref="N5:Q5"/>
    <mergeCell ref="B43:C43"/>
    <mergeCell ref="L38:M38"/>
    <mergeCell ref="A63:D63"/>
    <mergeCell ref="A123:T123"/>
    <mergeCell ref="B138:C138"/>
    <mergeCell ref="B153:C153"/>
    <mergeCell ref="M131:T131"/>
    <mergeCell ref="B151:C151"/>
    <mergeCell ref="N134:Q134"/>
    <mergeCell ref="A146:T146"/>
    <mergeCell ref="N168:T168"/>
    <mergeCell ref="N135:T135"/>
    <mergeCell ref="L134:M134"/>
    <mergeCell ref="B136:C137"/>
    <mergeCell ref="F136:H136"/>
    <mergeCell ref="L135:M135"/>
    <mergeCell ref="J136:N136"/>
    <mergeCell ref="B214:C214"/>
    <mergeCell ref="B238:C238"/>
    <mergeCell ref="J234:N234"/>
    <mergeCell ref="N201:Q201"/>
    <mergeCell ref="B149:C149"/>
    <mergeCell ref="B174:C174"/>
    <mergeCell ref="B143:C143"/>
    <mergeCell ref="D233:F233"/>
    <mergeCell ref="B108:C108"/>
    <mergeCell ref="B110:C110"/>
    <mergeCell ref="G134:I134"/>
    <mergeCell ref="A133:T133"/>
    <mergeCell ref="B124:C124"/>
    <mergeCell ref="A122:D122"/>
    <mergeCell ref="A113:T113"/>
    <mergeCell ref="B109:C109"/>
    <mergeCell ref="B118:C118"/>
    <mergeCell ref="A129:D129"/>
    <mergeCell ref="A328:T328"/>
    <mergeCell ref="B241:C241"/>
    <mergeCell ref="A291:D291"/>
    <mergeCell ref="B273:C273"/>
    <mergeCell ref="N265:Q265"/>
    <mergeCell ref="A264:T264"/>
    <mergeCell ref="G265:I265"/>
    <mergeCell ref="B309:C309"/>
    <mergeCell ref="O267:T267"/>
    <mergeCell ref="A243:D243"/>
    <mergeCell ref="D298:D299"/>
    <mergeCell ref="X77:X78"/>
    <mergeCell ref="B181:C181"/>
    <mergeCell ref="V77:V78"/>
    <mergeCell ref="A91:D91"/>
    <mergeCell ref="A98:D98"/>
    <mergeCell ref="W77:W78"/>
    <mergeCell ref="A112:D112"/>
    <mergeCell ref="G101:I101"/>
    <mergeCell ref="A206:T206"/>
    <mergeCell ref="B203:C204"/>
    <mergeCell ref="I203:I204"/>
    <mergeCell ref="A212:D212"/>
    <mergeCell ref="B217:C217"/>
    <mergeCell ref="B209:C209"/>
    <mergeCell ref="D203:D204"/>
    <mergeCell ref="J203:N203"/>
    <mergeCell ref="F203:H203"/>
    <mergeCell ref="B117:C117"/>
    <mergeCell ref="B119:C119"/>
    <mergeCell ref="U2:U6"/>
    <mergeCell ref="A65:D65"/>
    <mergeCell ref="B107:C107"/>
    <mergeCell ref="A69:T69"/>
    <mergeCell ref="D102:F102"/>
    <mergeCell ref="B93:C93"/>
    <mergeCell ref="B114:C114"/>
    <mergeCell ref="A48:D48"/>
    <mergeCell ref="G37:I37"/>
    <mergeCell ref="B83:C83"/>
    <mergeCell ref="V2:V6"/>
    <mergeCell ref="A42:T42"/>
    <mergeCell ref="I39:I40"/>
    <mergeCell ref="B41:C41"/>
    <mergeCell ref="B61:C61"/>
    <mergeCell ref="B105:C105"/>
    <mergeCell ref="B74:C74"/>
    <mergeCell ref="I72:I73"/>
    <mergeCell ref="A200:T200"/>
    <mergeCell ref="L71:M71"/>
    <mergeCell ref="B44:C44"/>
    <mergeCell ref="O72:T72"/>
    <mergeCell ref="B115:C115"/>
    <mergeCell ref="B116:C116"/>
    <mergeCell ref="N102:T102"/>
    <mergeCell ref="B76:C76"/>
    <mergeCell ref="B193:C193"/>
    <mergeCell ref="A130:D130"/>
    <mergeCell ref="B125:C125"/>
    <mergeCell ref="B152:C152"/>
    <mergeCell ref="A169:A170"/>
    <mergeCell ref="B169:C170"/>
    <mergeCell ref="D169:D170"/>
    <mergeCell ref="A127:D127"/>
    <mergeCell ref="A139:T139"/>
    <mergeCell ref="B185:C185"/>
    <mergeCell ref="X2:X6"/>
    <mergeCell ref="J7:N7"/>
    <mergeCell ref="M2:T2"/>
    <mergeCell ref="A4:T4"/>
    <mergeCell ref="G5:I5"/>
    <mergeCell ref="A39:A40"/>
    <mergeCell ref="J39:N39"/>
    <mergeCell ref="A17:D17"/>
    <mergeCell ref="L5:M5"/>
    <mergeCell ref="A244:T244"/>
    <mergeCell ref="B255:C255"/>
    <mergeCell ref="M67:T67"/>
    <mergeCell ref="N37:Q37"/>
    <mergeCell ref="B29:C29"/>
    <mergeCell ref="A75:T75"/>
    <mergeCell ref="B150:C150"/>
    <mergeCell ref="B148:C148"/>
    <mergeCell ref="D71:F71"/>
    <mergeCell ref="A80:D80"/>
    <mergeCell ref="F39:H39"/>
    <mergeCell ref="D38:F38"/>
    <mergeCell ref="B39:C40"/>
    <mergeCell ref="A7:A8"/>
    <mergeCell ref="B19:C19"/>
    <mergeCell ref="B50:C50"/>
    <mergeCell ref="A36:T36"/>
    <mergeCell ref="B12:C12"/>
    <mergeCell ref="B14:C14"/>
    <mergeCell ref="A18:T18"/>
    <mergeCell ref="F72:H72"/>
    <mergeCell ref="A27:T27"/>
    <mergeCell ref="B9:C9"/>
    <mergeCell ref="B15:C15"/>
    <mergeCell ref="A26:D26"/>
    <mergeCell ref="G70:I70"/>
    <mergeCell ref="N70:Q70"/>
    <mergeCell ref="A58:D58"/>
    <mergeCell ref="B11:C11"/>
    <mergeCell ref="A59:T59"/>
    <mergeCell ref="N6:T6"/>
    <mergeCell ref="O7:T7"/>
    <mergeCell ref="A10:T10"/>
    <mergeCell ref="F7:H7"/>
    <mergeCell ref="I7:I8"/>
    <mergeCell ref="B20:C20"/>
    <mergeCell ref="D6:F6"/>
    <mergeCell ref="L6:M6"/>
    <mergeCell ref="B7:C8"/>
    <mergeCell ref="D7:D8"/>
    <mergeCell ref="B21:C21"/>
    <mergeCell ref="B23:C23"/>
    <mergeCell ref="B22:C22"/>
    <mergeCell ref="O39:T39"/>
    <mergeCell ref="A49:T49"/>
    <mergeCell ref="D39:D40"/>
    <mergeCell ref="B28:C28"/>
    <mergeCell ref="A33:D33"/>
    <mergeCell ref="B24:C24"/>
    <mergeCell ref="A31:D31"/>
    <mergeCell ref="B52:C52"/>
    <mergeCell ref="L70:M70"/>
    <mergeCell ref="L37:M37"/>
    <mergeCell ref="N38:T38"/>
    <mergeCell ref="B77:C77"/>
    <mergeCell ref="A100:T100"/>
    <mergeCell ref="A82:T82"/>
    <mergeCell ref="B54:C54"/>
    <mergeCell ref="B51:C51"/>
    <mergeCell ref="A66:D66"/>
    <mergeCell ref="L102:M102"/>
    <mergeCell ref="L101:M101"/>
    <mergeCell ref="A34:D34"/>
    <mergeCell ref="J72:N72"/>
    <mergeCell ref="D72:D73"/>
    <mergeCell ref="B60:C60"/>
    <mergeCell ref="N71:T71"/>
    <mergeCell ref="A72:A73"/>
    <mergeCell ref="M35:T35"/>
    <mergeCell ref="B72:C73"/>
    <mergeCell ref="B86:C86"/>
    <mergeCell ref="B85:C85"/>
    <mergeCell ref="A92:T92"/>
    <mergeCell ref="B94:C94"/>
    <mergeCell ref="A99:D99"/>
    <mergeCell ref="B87:C87"/>
    <mergeCell ref="B88:C88"/>
    <mergeCell ref="B89:C89"/>
    <mergeCell ref="A145:D145"/>
    <mergeCell ref="B53:C53"/>
    <mergeCell ref="B140:C140"/>
    <mergeCell ref="B142:C142"/>
    <mergeCell ref="B141:C141"/>
    <mergeCell ref="A96:D96"/>
    <mergeCell ref="D103:D104"/>
    <mergeCell ref="B55:C55"/>
    <mergeCell ref="A106:T106"/>
    <mergeCell ref="B103:C104"/>
    <mergeCell ref="B158:C158"/>
    <mergeCell ref="A157:T157"/>
    <mergeCell ref="A163:D163"/>
    <mergeCell ref="B188:C188"/>
    <mergeCell ref="F169:H169"/>
    <mergeCell ref="B159:C159"/>
    <mergeCell ref="M165:T165"/>
    <mergeCell ref="A164:D164"/>
    <mergeCell ref="A161:D161"/>
    <mergeCell ref="B186:C186"/>
    <mergeCell ref="A190:D190"/>
    <mergeCell ref="B216:C216"/>
    <mergeCell ref="A231:T231"/>
    <mergeCell ref="N202:T202"/>
    <mergeCell ref="O203:T203"/>
    <mergeCell ref="O169:T169"/>
    <mergeCell ref="B173:C173"/>
    <mergeCell ref="B177:C177"/>
    <mergeCell ref="M199:T199"/>
    <mergeCell ref="A191:T191"/>
    <mergeCell ref="A197:D197"/>
    <mergeCell ref="B210:C210"/>
    <mergeCell ref="B207:C207"/>
    <mergeCell ref="B184:C184"/>
    <mergeCell ref="G201:I201"/>
    <mergeCell ref="L201:M201"/>
    <mergeCell ref="D202:F202"/>
    <mergeCell ref="L202:M202"/>
    <mergeCell ref="A198:D198"/>
    <mergeCell ref="A195:D195"/>
    <mergeCell ref="B218:C218"/>
    <mergeCell ref="B234:C235"/>
    <mergeCell ref="D234:D235"/>
    <mergeCell ref="B220:C220"/>
    <mergeCell ref="A213:T213"/>
    <mergeCell ref="B215:C215"/>
    <mergeCell ref="N232:Q232"/>
    <mergeCell ref="B219:C219"/>
    <mergeCell ref="O234:T234"/>
    <mergeCell ref="B224:C224"/>
    <mergeCell ref="A227:D227"/>
    <mergeCell ref="I234:I235"/>
    <mergeCell ref="A237:T237"/>
    <mergeCell ref="A234:A235"/>
    <mergeCell ref="A229:D229"/>
    <mergeCell ref="L232:M232"/>
    <mergeCell ref="L233:M233"/>
    <mergeCell ref="B225:C225"/>
    <mergeCell ref="B236:C236"/>
    <mergeCell ref="A276:D276"/>
    <mergeCell ref="J267:N267"/>
    <mergeCell ref="L297:M297"/>
    <mergeCell ref="B300:C300"/>
    <mergeCell ref="A295:T295"/>
    <mergeCell ref="N297:T297"/>
    <mergeCell ref="D297:F297"/>
    <mergeCell ref="B269:C269"/>
    <mergeCell ref="F298:H298"/>
    <mergeCell ref="B271:C271"/>
    <mergeCell ref="M325:T325"/>
    <mergeCell ref="B312:C312"/>
    <mergeCell ref="A307:T307"/>
    <mergeCell ref="B314:C314"/>
    <mergeCell ref="A317:T317"/>
    <mergeCell ref="B311:C311"/>
    <mergeCell ref="A324:D324"/>
    <mergeCell ref="B318:C318"/>
    <mergeCell ref="A323:D323"/>
    <mergeCell ref="B313:C313"/>
    <mergeCell ref="L296:M296"/>
    <mergeCell ref="J298:N298"/>
    <mergeCell ref="B304:C304"/>
    <mergeCell ref="A321:D321"/>
    <mergeCell ref="B310:C310"/>
    <mergeCell ref="A316:D316"/>
    <mergeCell ref="B308:C308"/>
    <mergeCell ref="A306:D306"/>
    <mergeCell ref="B319:C319"/>
    <mergeCell ref="A287:T287"/>
    <mergeCell ref="B289:C289"/>
    <mergeCell ref="B303:C303"/>
    <mergeCell ref="A301:T301"/>
    <mergeCell ref="O298:T298"/>
    <mergeCell ref="N296:Q296"/>
    <mergeCell ref="I298:I299"/>
    <mergeCell ref="B298:C299"/>
    <mergeCell ref="A298:A299"/>
    <mergeCell ref="B302:C302"/>
    <mergeCell ref="B245:C245"/>
    <mergeCell ref="A260:D260"/>
    <mergeCell ref="A293:D293"/>
    <mergeCell ref="A294:D294"/>
    <mergeCell ref="B281:C281"/>
    <mergeCell ref="A261:D261"/>
    <mergeCell ref="A253:D253"/>
    <mergeCell ref="A254:T254"/>
    <mergeCell ref="B247:C247"/>
    <mergeCell ref="G296:I296"/>
    <mergeCell ref="A286:D286"/>
    <mergeCell ref="B288:C288"/>
    <mergeCell ref="B282:C282"/>
    <mergeCell ref="B284:C284"/>
    <mergeCell ref="I267:I268"/>
    <mergeCell ref="L265:M265"/>
    <mergeCell ref="B246:C246"/>
    <mergeCell ref="B250:C250"/>
    <mergeCell ref="B256:C256"/>
    <mergeCell ref="A258:D258"/>
    <mergeCell ref="D266:F266"/>
    <mergeCell ref="M262:T262"/>
    <mergeCell ref="B249:C249"/>
    <mergeCell ref="B251:C251"/>
    <mergeCell ref="A179:D179"/>
    <mergeCell ref="A180:T180"/>
    <mergeCell ref="L266:M266"/>
    <mergeCell ref="B248:C248"/>
    <mergeCell ref="A223:T223"/>
    <mergeCell ref="F267:H267"/>
    <mergeCell ref="B205:C205"/>
    <mergeCell ref="B208:C208"/>
    <mergeCell ref="B239:C239"/>
    <mergeCell ref="F234:H234"/>
    <mergeCell ref="I103:I104"/>
    <mergeCell ref="N101:Q101"/>
    <mergeCell ref="I136:I137"/>
    <mergeCell ref="D136:D137"/>
    <mergeCell ref="A136:A137"/>
    <mergeCell ref="L168:M168"/>
    <mergeCell ref="A156:D156"/>
    <mergeCell ref="F103:H103"/>
    <mergeCell ref="J103:N103"/>
    <mergeCell ref="A103:A104"/>
    <mergeCell ref="I169:I170"/>
    <mergeCell ref="O103:T103"/>
    <mergeCell ref="D168:F168"/>
    <mergeCell ref="B84:C84"/>
    <mergeCell ref="G232:I232"/>
    <mergeCell ref="B283:C283"/>
    <mergeCell ref="D267:D268"/>
    <mergeCell ref="A172:T172"/>
    <mergeCell ref="L167:M167"/>
    <mergeCell ref="A166:T166"/>
    <mergeCell ref="W288:W290"/>
    <mergeCell ref="B279:C279"/>
    <mergeCell ref="A222:D222"/>
    <mergeCell ref="N233:T233"/>
    <mergeCell ref="B56:C56"/>
    <mergeCell ref="J169:N169"/>
    <mergeCell ref="B280:C280"/>
    <mergeCell ref="B278:C278"/>
    <mergeCell ref="B272:C272"/>
    <mergeCell ref="B175:C175"/>
    <mergeCell ref="V288:V290"/>
    <mergeCell ref="B182:C182"/>
    <mergeCell ref="A277:T277"/>
    <mergeCell ref="B267:C268"/>
    <mergeCell ref="A270:T270"/>
    <mergeCell ref="A203:A204"/>
    <mergeCell ref="B240:C240"/>
    <mergeCell ref="B192:C192"/>
    <mergeCell ref="N266:T266"/>
    <mergeCell ref="A267:A268"/>
    <mergeCell ref="V303:V304"/>
    <mergeCell ref="W303:W304"/>
    <mergeCell ref="X303:X304"/>
    <mergeCell ref="B45:C45"/>
    <mergeCell ref="B78:C78"/>
    <mergeCell ref="B274:C274"/>
    <mergeCell ref="A230:D230"/>
    <mergeCell ref="N167:Q167"/>
    <mergeCell ref="G167:I167"/>
    <mergeCell ref="X288:X290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9" orientation="landscape" r:id="rId1"/>
  <rowBreaks count="10" manualBreakCount="10">
    <brk id="34" max="19" man="1"/>
    <brk id="66" max="19" man="1"/>
    <brk id="99" max="19" man="1"/>
    <brk id="130" max="16383" man="1"/>
    <brk id="164" max="19" man="1"/>
    <brk id="198" max="19" man="1"/>
    <brk id="230" max="19" man="1"/>
    <brk id="261" max="19" man="1"/>
    <brk id="294" max="19" man="1"/>
    <brk id="324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zav_karam_nijn</dc:creator>
  <cp:lastModifiedBy>Друг</cp:lastModifiedBy>
  <cp:revision>1</cp:revision>
  <cp:lastPrinted>2025-01-31T06:44:22Z</cp:lastPrinted>
  <dcterms:created xsi:type="dcterms:W3CDTF">2017-06-07T09:01:22Z</dcterms:created>
  <dcterms:modified xsi:type="dcterms:W3CDTF">2025-02-06T15:36:05Z</dcterms:modified>
</cp:coreProperties>
</file>